
<file path=[Content_Types].xml><?xml version="1.0" encoding="utf-8"?>
<Types xmlns="http://schemas.openxmlformats.org/package/2006/content-types">
  <Override PartName="/xl/_rels/workbook.xml.rels" ContentType="application/vnd.openxmlformats-package.relationships+xml"/>
  <Override PartName="/xl/media/image1.tif" ContentType="image/tiff"/>
  <Override PartName="/xl/styles.xml" ContentType="application/vnd.openxmlformats-officedocument.spreadsheetml.styles+xml"/>
  <Override PartName="/xl/workbook.xml" ContentType="application/vnd.openxmlformats-officedocument.spreadsheetml.sheet.main+xml"/>
  <Override PartName="/xl/worksheets/_rels/sheet7.xml.rels" ContentType="application/vnd.openxmlformats-package.relationships+xml"/>
  <Override PartName="/xl/worksheets/_rels/sheet4.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pecs" sheetId="1" state="visible" r:id="rId2"/>
    <sheet name="pic" sheetId="2" state="visible" r:id="rId3"/>
    <sheet name="LC" sheetId="3" state="visible" r:id="rId4"/>
    <sheet name="EA" sheetId="4" state="visible" r:id="rId5"/>
    <sheet name="mosfet-inv" sheetId="5" state="visible" r:id="rId6"/>
    <sheet name="bootstrap-inv" sheetId="6" state="visible" r:id="rId7"/>
    <sheet name="bom-170915" sheetId="7" state="visible" r:id="rId8"/>
  </sheets>
  <externalReferences>
    <externalReference r:id="rId9"/>
  </externalReferences>
  <definedNames>
    <definedName function="false" hidden="true" localSheetId="6" name="_xlnm._FilterDatabase" vbProcedure="false">'bom-170915'!$A$1:$M$76</definedName>
    <definedName function="false" hidden="false" name="Finv" vbProcedure="false">LC!$N$10</definedName>
    <definedName function="false" hidden="false" name="Iin_max" vbProcedure="false">specs!$C$10</definedName>
    <definedName function="false" hidden="false" name="iout_max" vbProcedure="false">LC!$N$7</definedName>
    <definedName function="false" hidden="false" name="Tinv" vbProcedure="false">LC!$N$12</definedName>
    <definedName function="false" hidden="false" name="Ton" vbProcedure="false">LC!$N$13</definedName>
    <definedName function="false" hidden="false" name="Vcc" vbProcedure="false">specs!$C$7</definedName>
    <definedName function="false" hidden="false" name="Vcc_min" vbProcedure="false">specs!$C$8</definedName>
    <definedName function="false" hidden="false" name="Vin" vbProcedure="false">specs!$C$5</definedName>
    <definedName function="false" hidden="false" name="vin_max" vbProcedure="false">specs!$C$6</definedName>
    <definedName function="false" hidden="false" name="vin_min" vbProcedure="false">specs!$C$4</definedName>
    <definedName function="false" hidden="false" localSheetId="4" name="sw_inv" vbProcedure="false">'mosfet-inv'!$C$4</definedName>
    <definedName function="false" hidden="false" localSheetId="4" name="Tf_inv" vbProcedure="false">'mosfet-inv'!$C$9</definedName>
    <definedName function="false" hidden="false" localSheetId="4" name="Tr_inv" vbProcedure="false">'mosfet-inv'!$C$8</definedName>
    <definedName function="false" hidden="false" localSheetId="6" name="timer_2_0_161105" vbProcedure="false">'bom-170915'!$C$1:$N$54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<sst xmlns="http://schemas.openxmlformats.org/spreadsheetml/2006/main" count="1129" uniqueCount="708">
  <si>
    <t xml:space="preserve">Name</t>
  </si>
  <si>
    <t xml:space="preserve">MPPTPROTO</t>
  </si>
  <si>
    <t xml:space="preserve">Description</t>
  </si>
  <si>
    <t xml:space="preserve">Prototype 100W PV MPPT 12V lead-acid charger using current mode control.</t>
  </si>
  <si>
    <t xml:space="preserve">PV Input voltage (minimum), V</t>
  </si>
  <si>
    <t xml:space="preserve">PV Input voltage (~MPP), V</t>
  </si>
  <si>
    <t xml:space="preserve">PV Input voltage (maximum), V</t>
  </si>
  <si>
    <t xml:space="preserve">Vcc (battery), V</t>
  </si>
  <si>
    <t xml:space="preserve">Vcc (battery) min, V</t>
  </si>
  <si>
    <t xml:space="preserve">PV maximum wattage, W</t>
  </si>
  <si>
    <t xml:space="preserve">Maximum input current</t>
  </si>
  <si>
    <t xml:space="preserve">16-bit PWM Timing</t>
  </si>
  <si>
    <t xml:space="preserve">Timer 0</t>
  </si>
  <si>
    <t xml:space="preserve">ADC Conversion Timing</t>
  </si>
  <si>
    <t xml:space="preserve">ADC Scaling</t>
  </si>
  <si>
    <t xml:space="preserve">Pin Map</t>
  </si>
  <si>
    <t xml:space="preserve">Pin Assignments</t>
  </si>
  <si>
    <t xml:space="preserve">Fosc (HFINTOSC)</t>
  </si>
  <si>
    <t xml:space="preserve">Clock speed</t>
  </si>
  <si>
    <t xml:space="preserve">Conversion Clock Speed</t>
  </si>
  <si>
    <t xml:space="preserve">Vref</t>
  </si>
  <si>
    <t xml:space="preserve">Pin</t>
  </si>
  <si>
    <t xml:space="preserve">Port</t>
  </si>
  <si>
    <t xml:space="preserve">Channel</t>
  </si>
  <si>
    <t xml:space="preserve">1=in,0=out</t>
  </si>
  <si>
    <t xml:space="preserve">1=A,0=D</t>
  </si>
  <si>
    <t xml:space="preserve">Peripheral/Pin</t>
  </si>
  <si>
    <t xml:space="preserve">Function</t>
  </si>
  <si>
    <t xml:space="preserve">Tosc</t>
  </si>
  <si>
    <t xml:space="preserve">Prescaler (1:?)</t>
  </si>
  <si>
    <t xml:space="preserve">Tad Cycles Required</t>
  </si>
  <si>
    <t xml:space="preserve">mV / increment</t>
  </si>
  <si>
    <t xml:space="preserve">Vdd</t>
  </si>
  <si>
    <t xml:space="preserve">-</t>
  </si>
  <si>
    <t xml:space="preserve">'-</t>
  </si>
  <si>
    <t xml:space="preserve">n/a</t>
  </si>
  <si>
    <t xml:space="preserve">Ficlk</t>
  </si>
  <si>
    <t xml:space="preserve">Speed (Hz)</t>
  </si>
  <si>
    <t xml:space="preserve">ADC Conversion Time</t>
  </si>
  <si>
    <t xml:space="preserve">Measured V</t>
  </si>
  <si>
    <t xml:space="preserve">RA5</t>
  </si>
  <si>
    <t xml:space="preserve">N/C</t>
  </si>
  <si>
    <t xml:space="preserve">Ticlk</t>
  </si>
  <si>
    <t xml:space="preserve">Period (uS)</t>
  </si>
  <si>
    <t xml:space="preserve">ADC value, H/D</t>
  </si>
  <si>
    <t xml:space="preserve">RA4</t>
  </si>
  <si>
    <t xml:space="preserve">AN3</t>
  </si>
  <si>
    <t xml:space="preserve">Instructions / pwm period</t>
  </si>
  <si>
    <t xml:space="preserve">Full Scale Time</t>
  </si>
  <si>
    <t xml:space="preserve">Tamp, amplifier settling time</t>
  </si>
  <si>
    <t xml:space="preserve">RA3</t>
  </si>
  <si>
    <t xml:space="preserve">VPP</t>
  </si>
  <si>
    <t xml:space="preserve">PWM5PR, period, (hex word)</t>
  </si>
  <si>
    <t xml:space="preserve">4f</t>
  </si>
  <si>
    <t xml:space="preserve">Freq (Hz)</t>
  </si>
  <si>
    <t xml:space="preserve">Rs, source impedance</t>
  </si>
  <si>
    <t xml:space="preserve">RC5</t>
  </si>
  <si>
    <t xml:space="preserve">LED:  run</t>
  </si>
  <si>
    <t xml:space="preserve">PWM5DC, duty cycle (hex word)</t>
  </si>
  <si>
    <t xml:space="preserve">48</t>
  </si>
  <si>
    <t xml:space="preserve">Ambient temperature, C</t>
  </si>
  <si>
    <t xml:space="preserve">RC4</t>
  </si>
  <si>
    <t xml:space="preserve">LED:  fault</t>
  </si>
  <si>
    <t xml:space="preserve">PWM5PH, phase (hex word)</t>
  </si>
  <si>
    <t xml:space="preserve">0</t>
  </si>
  <si>
    <t xml:space="preserve">Timer 1/3/5</t>
  </si>
  <si>
    <t xml:space="preserve">Tc, hold capacitor charge time</t>
  </si>
  <si>
    <t xml:space="preserve">5-bit DAC Output Voltage</t>
  </si>
  <si>
    <t xml:space="preserve">RC3</t>
  </si>
  <si>
    <t xml:space="preserve">AN7</t>
  </si>
  <si>
    <t xml:space="preserve">PRG2</t>
  </si>
  <si>
    <t xml:space="preserve">Voltage In</t>
  </si>
  <si>
    <t xml:space="preserve">Prescale</t>
  </si>
  <si>
    <t xml:space="preserve">Tcoff, temperature coefficient</t>
  </si>
  <si>
    <t xml:space="preserve">V+</t>
  </si>
  <si>
    <t xml:space="preserve">RC6</t>
  </si>
  <si>
    <t xml:space="preserve">AN8</t>
  </si>
  <si>
    <t xml:space="preserve">ADC</t>
  </si>
  <si>
    <t xml:space="preserve">Ipv</t>
  </si>
  <si>
    <t xml:space="preserve">Cycle adjustment factor</t>
  </si>
  <si>
    <t xml:space="preserve">Tacq, Acqusition Time</t>
  </si>
  <si>
    <r>
      <rPr>
        <b val="true"/>
        <sz val="12"/>
        <color rgb="FF000000"/>
        <rFont val="Calibri"/>
        <family val="2"/>
        <charset val="1"/>
      </rPr>
      <t xml:space="preserve">DAC1CON1</t>
    </r>
    <r>
      <rPr>
        <b val="true"/>
        <vertAlign val="subscript"/>
        <sz val="12"/>
        <color rgb="FF000000"/>
        <rFont val="Calibri"/>
        <family val="2"/>
        <charset val="1"/>
      </rPr>
      <t xml:space="preserve">10</t>
    </r>
  </si>
  <si>
    <t xml:space="preserve">RC7</t>
  </si>
  <si>
    <t xml:space="preserve">AN9</t>
  </si>
  <si>
    <t xml:space="preserve">Vpv</t>
  </si>
  <si>
    <t xml:space="preserve">PWM period</t>
  </si>
  <si>
    <r>
      <rPr>
        <b val="true"/>
        <sz val="12"/>
        <color rgb="FF000000"/>
        <rFont val="Calibri"/>
        <family val="2"/>
        <charset val="1"/>
      </rPr>
      <t xml:space="preserve">DAC1CON1</t>
    </r>
    <r>
      <rPr>
        <b val="true"/>
        <vertAlign val="subscript"/>
        <sz val="12"/>
        <color rgb="FF000000"/>
        <rFont val="Calibri"/>
        <family val="2"/>
        <charset val="1"/>
      </rPr>
      <t xml:space="preserve">16</t>
    </r>
  </si>
  <si>
    <t xml:space="preserve">RB7</t>
  </si>
  <si>
    <t xml:space="preserve">PWM3</t>
  </si>
  <si>
    <t xml:space="preserve">SSR</t>
  </si>
  <si>
    <t xml:space="preserve">PWM frequency</t>
  </si>
  <si>
    <t xml:space="preserve">Total conversion time</t>
  </si>
  <si>
    <t xml:space="preserve">Vout</t>
  </si>
  <si>
    <t xml:space="preserve">RB6</t>
  </si>
  <si>
    <t xml:space="preserve">CLC1</t>
  </si>
  <si>
    <t xml:space="preserve">GATE:  low</t>
  </si>
  <si>
    <t xml:space="preserve">Duty cycle ratio</t>
  </si>
  <si>
    <t xml:space="preserve">RB5</t>
  </si>
  <si>
    <t xml:space="preserve">AN11</t>
  </si>
  <si>
    <t xml:space="preserve">COG1, T5G</t>
  </si>
  <si>
    <t xml:space="preserve">GATE:  hi</t>
  </si>
  <si>
    <t xml:space="preserve">Desired duty cycle ratio, %</t>
  </si>
  <si>
    <t xml:space="preserve">RB4</t>
  </si>
  <si>
    <t xml:space="preserve">AN10</t>
  </si>
  <si>
    <t xml:space="preserve">OPA1IN0-</t>
  </si>
  <si>
    <t xml:space="preserve">EAin</t>
  </si>
  <si>
    <t xml:space="preserve">PWM5DC value</t>
  </si>
  <si>
    <t xml:space="preserve">MCP9700A Ratiometric Temp Sensor</t>
  </si>
  <si>
    <t xml:space="preserve">10-bit DAC Output Voltage</t>
  </si>
  <si>
    <t xml:space="preserve">RC2</t>
  </si>
  <si>
    <t xml:space="preserve">AN6</t>
  </si>
  <si>
    <t xml:space="preserve">OPA1OUT</t>
  </si>
  <si>
    <t xml:space="preserve">EAout</t>
  </si>
  <si>
    <t xml:space="preserve">Desired PWM frequency</t>
  </si>
  <si>
    <t xml:space="preserve">Timer 2/4/6</t>
  </si>
  <si>
    <r>
      <rPr>
        <sz val="12"/>
        <color rgb="FF000000"/>
        <rFont val="Calibri"/>
        <family val="2"/>
        <charset val="1"/>
      </rPr>
      <t xml:space="preserve">Ambient / Sensor Temp, T</t>
    </r>
    <r>
      <rPr>
        <vertAlign val="subscript"/>
        <sz val="12"/>
        <color rgb="FF000000"/>
        <rFont val="Calibri"/>
        <family val="2"/>
        <charset val="1"/>
      </rPr>
      <t xml:space="preserve">A</t>
    </r>
  </si>
  <si>
    <t xml:space="preserve">RC1</t>
  </si>
  <si>
    <t xml:space="preserve">AN5</t>
  </si>
  <si>
    <t xml:space="preserve">C1IN1-, C2IN1-</t>
  </si>
  <si>
    <t xml:space="preserve">CSin</t>
  </si>
  <si>
    <t xml:space="preserve">Desired PWM period</t>
  </si>
  <si>
    <r>
      <rPr>
        <sz val="12"/>
        <color rgb="FF000000"/>
        <rFont val="Calibri"/>
        <family val="2"/>
        <charset val="1"/>
      </rPr>
      <t xml:space="preserve">Temperature Coefficient, T</t>
    </r>
    <r>
      <rPr>
        <vertAlign val="subscript"/>
        <sz val="12"/>
        <color rgb="FF000000"/>
        <rFont val="Calibri"/>
        <family val="2"/>
        <charset val="1"/>
      </rPr>
      <t xml:space="preserve">C</t>
    </r>
  </si>
  <si>
    <t xml:space="preserve">RC0</t>
  </si>
  <si>
    <t xml:space="preserve">AN4</t>
  </si>
  <si>
    <t xml:space="preserve">Required PWM5PR value (hex)</t>
  </si>
  <si>
    <r>
      <rPr>
        <sz val="12"/>
        <color rgb="FF000000"/>
        <rFont val="Calibri"/>
        <family val="2"/>
        <charset val="1"/>
      </rPr>
      <t xml:space="preserve">Sensor output @ 0C, V</t>
    </r>
    <r>
      <rPr>
        <vertAlign val="subscript"/>
        <sz val="12"/>
        <color rgb="FF000000"/>
        <rFont val="Calibri"/>
        <family val="2"/>
        <charset val="1"/>
      </rPr>
      <t xml:space="preserve">0C</t>
    </r>
  </si>
  <si>
    <t xml:space="preserve">RA2</t>
  </si>
  <si>
    <t xml:space="preserve">AN2</t>
  </si>
  <si>
    <t xml:space="preserve">Vbat</t>
  </si>
  <si>
    <r>
      <rPr>
        <sz val="12"/>
        <color rgb="FF000000"/>
        <rFont val="Calibri"/>
        <family val="2"/>
        <charset val="1"/>
      </rPr>
      <t xml:space="preserve">Sensor output, V</t>
    </r>
    <r>
      <rPr>
        <vertAlign val="subscript"/>
        <sz val="12"/>
        <color rgb="FF000000"/>
        <rFont val="Calibri"/>
        <family val="2"/>
        <charset val="1"/>
      </rPr>
      <t xml:space="preserve">OUT</t>
    </r>
  </si>
  <si>
    <t xml:space="preserve">RA1</t>
  </si>
  <si>
    <t xml:space="preserve">AN1</t>
  </si>
  <si>
    <t xml:space="preserve">EUSART</t>
  </si>
  <si>
    <t xml:space="preserve">CLK/Tx</t>
  </si>
  <si>
    <t xml:space="preserve">RA0</t>
  </si>
  <si>
    <t xml:space="preserve">AN0</t>
  </si>
  <si>
    <t xml:space="preserve">DAT/Rx</t>
  </si>
  <si>
    <t xml:space="preserve">10-bit PWM Timing</t>
  </si>
  <si>
    <t xml:space="preserve">Vss</t>
  </si>
  <si>
    <t xml:space="preserve">Fosc</t>
  </si>
  <si>
    <t xml:space="preserve">PR Match</t>
  </si>
  <si>
    <t xml:space="preserve">PR Match Time</t>
  </si>
  <si>
    <t xml:space="preserve">Postscaler (1:1-1:16)</t>
  </si>
  <si>
    <t xml:space="preserve">Postscaler Time</t>
  </si>
  <si>
    <t xml:space="preserve">Instructions / period</t>
  </si>
  <si>
    <t xml:space="preserve">Period Register (hex)</t>
  </si>
  <si>
    <t xml:space="preserve">27</t>
  </si>
  <si>
    <t xml:space="preserve">PWMperiod</t>
  </si>
  <si>
    <t xml:space="preserve">PWMfreq</t>
  </si>
  <si>
    <t xml:space="preserve">Resolution bits</t>
  </si>
  <si>
    <t xml:space="preserve">Resolution cycles</t>
  </si>
  <si>
    <t xml:space="preserve">CCPRxH:CCPRxL (hex)</t>
  </si>
  <si>
    <t xml:space="preserve">10</t>
  </si>
  <si>
    <t xml:space="preserve">Duty Cycle time</t>
  </si>
  <si>
    <t xml:space="preserve">Duty cycle %</t>
  </si>
  <si>
    <t xml:space="preserve">Design Parameter</t>
  </si>
  <si>
    <t xml:space="preserve">Value</t>
  </si>
  <si>
    <t xml:space="preserve">Notes</t>
  </si>
  <si>
    <t xml:space="preserve">Unidirectional Current Transformer</t>
  </si>
  <si>
    <t xml:space="preserve">Buck Inductor Time, Current Slope, DC Operating Point</t>
  </si>
  <si>
    <t xml:space="preserve">Winding Requirements &amp; 
Toroid Parameters</t>
  </si>
  <si>
    <t xml:space="preserve">Selected wire AWG =</t>
  </si>
  <si>
    <t xml:space="preserve">Primary turns:</t>
  </si>
  <si>
    <t xml:space="preserve">Parameter</t>
  </si>
  <si>
    <t xml:space="preserve">Comments</t>
  </si>
  <si>
    <t xml:space="preserve">Number of turns =</t>
  </si>
  <si>
    <t xml:space="preserve">Secondary turns:</t>
  </si>
  <si>
    <t xml:space="preserve">PV rated power, W</t>
  </si>
  <si>
    <t xml:space="preserve">Number of strands =</t>
  </si>
  <si>
    <r>
      <rPr>
        <sz val="12"/>
        <color rgb="FF000000"/>
        <rFont val="Calibri"/>
        <family val="2"/>
        <charset val="1"/>
      </rPr>
      <t xml:space="preserve">Primary design current, I</t>
    </r>
    <r>
      <rPr>
        <vertAlign val="subscript"/>
        <sz val="12"/>
        <color rgb="FF000000"/>
        <rFont val="Calibri (Body)"/>
        <family val="0"/>
        <charset val="1"/>
      </rPr>
      <t xml:space="preserve">P</t>
    </r>
    <r>
      <rPr>
        <sz val="12"/>
        <color rgb="FF000000"/>
        <rFont val="Calibri"/>
        <family val="2"/>
        <charset val="1"/>
      </rPr>
      <t xml:space="preserve">:</t>
    </r>
  </si>
  <si>
    <t xml:space="preserve">Input @ MPPT, V</t>
  </si>
  <si>
    <t xml:space="preserve">Core dim. adjustment for previously wound layer(s), cm =</t>
  </si>
  <si>
    <t xml:space="preserve">Ratio:</t>
  </si>
  <si>
    <t xml:space="preserve">Input @ MPPT, I</t>
  </si>
  <si>
    <r>
      <rPr>
        <sz val="12"/>
        <color rgb="FF000000"/>
        <rFont val="Calibri"/>
        <family val="2"/>
        <charset val="1"/>
      </rPr>
      <t xml:space="preserve">Selected wire area cm</t>
    </r>
    <r>
      <rPr>
        <vertAlign val="superscript"/>
        <sz val="12"/>
        <color rgb="FF000000"/>
        <rFont val="Calibri"/>
        <family val="2"/>
        <charset val="1"/>
      </rPr>
      <t xml:space="preserve">2</t>
    </r>
    <r>
      <rPr>
        <sz val="12"/>
        <color rgb="FF000000"/>
        <rFont val="Calibri"/>
        <family val="2"/>
        <charset val="1"/>
      </rPr>
      <t xml:space="preserve"> = </t>
    </r>
  </si>
  <si>
    <r>
      <rPr>
        <sz val="12"/>
        <color rgb="FF000000"/>
        <rFont val="Calibri"/>
        <family val="2"/>
        <charset val="1"/>
      </rPr>
      <t xml:space="preserve">Secondary current @ I</t>
    </r>
    <r>
      <rPr>
        <vertAlign val="subscript"/>
        <sz val="12"/>
        <color rgb="FF000000"/>
        <rFont val="Calibri (Body)"/>
        <family val="0"/>
        <charset val="1"/>
      </rPr>
      <t xml:space="preserve">P</t>
    </r>
    <r>
      <rPr>
        <sz val="12"/>
        <color rgb="FF000000"/>
        <rFont val="Calibri"/>
        <family val="2"/>
        <charset val="1"/>
      </rPr>
      <t xml:space="preserve">, I</t>
    </r>
    <r>
      <rPr>
        <vertAlign val="subscript"/>
        <sz val="12"/>
        <color rgb="FF000000"/>
        <rFont val="Calibri (Body)"/>
        <family val="0"/>
        <charset val="1"/>
      </rPr>
      <t xml:space="preserve">S</t>
    </r>
    <r>
      <rPr>
        <sz val="12"/>
        <color rgb="FF000000"/>
        <rFont val="Calibri"/>
        <family val="2"/>
        <charset val="1"/>
      </rPr>
      <t xml:space="preserve">:</t>
    </r>
  </si>
  <si>
    <t xml:space="preserve">Output, V</t>
  </si>
  <si>
    <t xml:space="preserve">Selected wire uΩ/cm =</t>
  </si>
  <si>
    <t xml:space="preserve">Burden resistor, Ω:</t>
  </si>
  <si>
    <t xml:space="preserve">Output, I</t>
  </si>
  <si>
    <t xml:space="preserve">Selected wire dia w/insul, mm =</t>
  </si>
  <si>
    <t xml:space="preserve">Max secondary voltage:</t>
  </si>
  <si>
    <t xml:space="preserve">Output, Ro, Ω</t>
  </si>
  <si>
    <t xml:space="preserve">Load impedance.</t>
  </si>
  <si>
    <t xml:space="preserve">Selected core manufacturer =</t>
  </si>
  <si>
    <t xml:space="preserve">Magnetics</t>
  </si>
  <si>
    <t xml:space="preserve">Volts per amp, Ri, V:</t>
  </si>
  <si>
    <t xml:space="preserve">Inductor, L</t>
  </si>
  <si>
    <t xml:space="preserve">Per Titan design file mpptproto-l1-r1.pdf.</t>
  </si>
  <si>
    <t xml:space="preserve">Selected core part # =</t>
  </si>
  <si>
    <t xml:space="preserve">C055894A2</t>
  </si>
  <si>
    <t xml:space="preserve">Dissipation, W:</t>
  </si>
  <si>
    <t xml:space="preserve">Switch freq., Hz</t>
  </si>
  <si>
    <t xml:space="preserve">Selected core OD, cm =</t>
  </si>
  <si>
    <t xml:space="preserve">Core part #:</t>
  </si>
  <si>
    <t xml:space="preserve">TDK B64290L0044X038</t>
  </si>
  <si>
    <t xml:space="preserve">Duty Cycle, D, %</t>
  </si>
  <si>
    <t xml:space="preserve">Required duty cycle to meet input / output parameters.</t>
  </si>
  <si>
    <t xml:space="preserve">Selected core ID, cm =</t>
  </si>
  <si>
    <t xml:space="preserve">Core material:</t>
  </si>
  <si>
    <t xml:space="preserve">Ferrite, T38</t>
  </si>
  <si>
    <t xml:space="preserve">Switch time, S</t>
  </si>
  <si>
    <t xml:space="preserve">Selected core height, cm =</t>
  </si>
  <si>
    <r>
      <rPr>
        <sz val="12"/>
        <color rgb="FF000000"/>
        <rFont val="Calibri"/>
        <family val="2"/>
        <charset val="1"/>
      </rPr>
      <t xml:space="preserve">Core A</t>
    </r>
    <r>
      <rPr>
        <vertAlign val="subscript"/>
        <sz val="12"/>
        <color rgb="FF000000"/>
        <rFont val="Calibri (Body)"/>
        <family val="0"/>
        <charset val="1"/>
      </rPr>
      <t xml:space="preserve">e</t>
    </r>
    <r>
      <rPr>
        <sz val="12"/>
        <color rgb="FF000000"/>
        <rFont val="Calibri"/>
        <family val="2"/>
        <charset val="1"/>
      </rPr>
      <t xml:space="preserve">, mm</t>
    </r>
    <r>
      <rPr>
        <vertAlign val="superscript"/>
        <sz val="12"/>
        <color rgb="FF000000"/>
        <rFont val="Calibri (Body)"/>
        <family val="0"/>
        <charset val="1"/>
      </rPr>
      <t xml:space="preserve">2</t>
    </r>
    <r>
      <rPr>
        <sz val="12"/>
        <color rgb="FF000000"/>
        <rFont val="Calibri"/>
        <family val="2"/>
        <charset val="1"/>
      </rPr>
      <t xml:space="preserve">:</t>
    </r>
  </si>
  <si>
    <t xml:space="preserve">On time, Ton</t>
  </si>
  <si>
    <r>
      <rPr>
        <sz val="12"/>
        <color rgb="FF000000"/>
        <rFont val="Calibri"/>
        <family val="2"/>
        <charset val="1"/>
      </rPr>
      <t xml:space="preserve">Selected core A</t>
    </r>
    <r>
      <rPr>
        <vertAlign val="subscript"/>
        <sz val="12"/>
        <color rgb="FF000000"/>
        <rFont val="Calibri (Body)"/>
        <family val="0"/>
        <charset val="1"/>
      </rPr>
      <t xml:space="preserve">L</t>
    </r>
    <r>
      <rPr>
        <sz val="12"/>
        <color rgb="FF000000"/>
        <rFont val="Calibri"/>
        <family val="2"/>
        <charset val="1"/>
      </rPr>
      <t xml:space="preserve">, nH/N2 =</t>
    </r>
  </si>
  <si>
    <r>
      <rPr>
        <sz val="12"/>
        <color rgb="FF000000"/>
        <rFont val="Calibri"/>
        <family val="2"/>
        <charset val="1"/>
      </rPr>
      <t xml:space="preserve">Core A</t>
    </r>
    <r>
      <rPr>
        <vertAlign val="subscript"/>
        <sz val="12"/>
        <color rgb="FF000000"/>
        <rFont val="Calibri (Body)"/>
        <family val="0"/>
        <charset val="1"/>
      </rPr>
      <t xml:space="preserve">L, nH:</t>
    </r>
  </si>
  <si>
    <t xml:space="preserve">Off time, Toff</t>
  </si>
  <si>
    <t xml:space="preserve">Permeability tolerance, % =</t>
  </si>
  <si>
    <t xml:space="preserve">Inductance, L:</t>
  </si>
  <si>
    <t xml:space="preserve">Inductor M2, A/uS</t>
  </si>
  <si>
    <t xml:space="preserve">M2 is the inductor down-sloping ramp during switch off-time.</t>
  </si>
  <si>
    <t xml:space="preserve">di/dt, A/s:</t>
  </si>
  <si>
    <t xml:space="preserve">Inductor M, A/uS</t>
  </si>
  <si>
    <t xml:space="preserve">M is 1/2 the slope of M2.</t>
  </si>
  <si>
    <t xml:space="preserve">Available winding length, cm =</t>
  </si>
  <si>
    <t xml:space="preserve">Maximum pulse time, uS:</t>
  </si>
  <si>
    <t xml:space="preserve">Inductor M2, V/uS</t>
  </si>
  <si>
    <t xml:space="preserve">Magnetization current, I:</t>
  </si>
  <si>
    <t xml:space="preserve">Inductor M, V/uS</t>
  </si>
  <si>
    <t xml:space="preserve">Slope compensation value.</t>
  </si>
  <si>
    <t xml:space="preserve">Mean Length turn, cm =</t>
  </si>
  <si>
    <t xml:space="preserve">Primary current error, I:</t>
  </si>
  <si>
    <t xml:space="preserve">Inductor M2 ∆, I</t>
  </si>
  <si>
    <t xml:space="preserve">Inductor output ripple current.</t>
  </si>
  <si>
    <t xml:space="preserve">Winding width per turn, cm =</t>
  </si>
  <si>
    <t xml:space="preserve">Per pulse flux density, mT:</t>
  </si>
  <si>
    <t xml:space="preserve">Inductor peak, I|V</t>
  </si>
  <si>
    <t xml:space="preserve">Reset resistor, Ω:</t>
  </si>
  <si>
    <t xml:space="preserve">Inductor min, I|V</t>
  </si>
  <si>
    <t xml:space="preserve">Total winding Ω =</t>
  </si>
  <si>
    <t xml:space="preserve">Reset voltage:</t>
  </si>
  <si>
    <t xml:space="preserve">Inductor M1, A/uS</t>
  </si>
  <si>
    <t xml:space="preserve">M1 is the inductor up-sloping ramp during switch on-time.</t>
  </si>
  <si>
    <t xml:space="preserve">Toroid Winding Calculator</t>
  </si>
  <si>
    <t xml:space="preserve">Turns/Layer</t>
  </si>
  <si>
    <t xml:space="preserve">Len/Str/Layer</t>
  </si>
  <si>
    <t xml:space="preserve">94% reset time, s:</t>
  </si>
  <si>
    <t xml:space="preserve">Inductor M1, V/uS</t>
  </si>
  <si>
    <t xml:space="preserve">Max M2, Vsl, V</t>
  </si>
  <si>
    <t xml:space="preserve">Maximum M2 voltage for switch time T.</t>
  </si>
  <si>
    <t xml:space="preserve">Mean length turn (cm) =</t>
  </si>
  <si>
    <t xml:space="preserve">Km</t>
  </si>
  <si>
    <t xml:space="preserve">Modulator voltage gain</t>
  </si>
  <si>
    <t xml:space="preserve">Toroid inner diameter (cm) =</t>
  </si>
  <si>
    <t xml:space="preserve">Kd</t>
  </si>
  <si>
    <t xml:space="preserve">Current loop gain</t>
  </si>
  <si>
    <t xml:space="preserve">Toroid inner radius (cm) =</t>
  </si>
  <si>
    <t xml:space="preserve">Vo/Vc(DC), dB</t>
  </si>
  <si>
    <t xml:space="preserve">Control loop DC operating point</t>
  </si>
  <si>
    <t xml:space="preserve">Toroid inner circumference (cm) =</t>
  </si>
  <si>
    <t xml:space="preserve">Number of turns layer 1 =</t>
  </si>
  <si>
    <t xml:space="preserve">Mean length turn layer 2 (cm) =</t>
  </si>
  <si>
    <t xml:space="preserve">Toroid inner radius w/layer 1 (cm) =</t>
  </si>
  <si>
    <t xml:space="preserve">Output Filter Capacitor</t>
  </si>
  <si>
    <t xml:space="preserve">Toroid inner circumference w/layer 1 (cm) =</t>
  </si>
  <si>
    <t xml:space="preserve">Inductor ripple current, max, I</t>
  </si>
  <si>
    <t xml:space="preserve">High-line ripple @ max load (M2 ∆).</t>
  </si>
  <si>
    <t xml:space="preserve">Number of turns layer 2 =</t>
  </si>
  <si>
    <t xml:space="preserve">Switch off-time @ max ripple current, s</t>
  </si>
  <si>
    <t xml:space="preserve">Toff</t>
  </si>
  <si>
    <t xml:space="preserve">Mean length turn layer 3 (cm) =</t>
  </si>
  <si>
    <t xml:space="preserve">Output ripple voltage, max, V</t>
  </si>
  <si>
    <t xml:space="preserve">Toroid inner radius w/layer 2 (cm) =</t>
  </si>
  <si>
    <t xml:space="preserve">Minimum ideal capacitor with 0 ESR, F</t>
  </si>
  <si>
    <t xml:space="preserve">Toroid inner circumference w/layer 2 (cm) =</t>
  </si>
  <si>
    <t xml:space="preserve">Selected capacitor, F</t>
  </si>
  <si>
    <t xml:space="preserve">Bin 2-1, Digikey 35PZE270M10X9-ND</t>
  </si>
  <si>
    <t xml:space="preserve">Number of turns layer 3 =</t>
  </si>
  <si>
    <t xml:space="preserve">Selected capacitor, ESR, Ω</t>
  </si>
  <si>
    <t xml:space="preserve">Mean length turn layer 4 (cm) =</t>
  </si>
  <si>
    <t xml:space="preserve">Minimum ideal capacitor resized for selected ESR, F</t>
  </si>
  <si>
    <t xml:space="preserve">Toroid inner radius w/layer 3 (cm) =</t>
  </si>
  <si>
    <t xml:space="preserve">Expected voltage ripple with selected capacitor, V</t>
  </si>
  <si>
    <t xml:space="preserve">Toroid inner circumference w/layer 3 (cm) =</t>
  </si>
  <si>
    <t xml:space="preserve">LC cutoff frequency, Fco</t>
  </si>
  <si>
    <t xml:space="preserve">Standard complex-conjugate pole that exists for voltage-mode control.</t>
  </si>
  <si>
    <t xml:space="preserve">Number of turns layer 4 =</t>
  </si>
  <si>
    <t xml:space="preserve">Frequency of capacitor pole, Cp</t>
  </si>
  <si>
    <t xml:space="preserve">Capacitor Z equals the parallel Z of Ro and Kd</t>
  </si>
  <si>
    <t xml:space="preserve">Frequency of ESR zero, Fesrz</t>
  </si>
  <si>
    <t xml:space="preserve">Capacitor Z equals ESR</t>
  </si>
  <si>
    <t xml:space="preserve">Frequency of inductor pole, Lp</t>
  </si>
  <si>
    <t xml:space="preserve">Inductor Z equals Kd</t>
  </si>
  <si>
    <t xml:space="preserve">1/2 switching frequency</t>
  </si>
  <si>
    <t xml:space="preserve">Double pole exists</t>
  </si>
  <si>
    <t xml:space="preserve">Error Amp and Transfer Function Analysis</t>
  </si>
  <si>
    <t xml:space="preserve">Modulator Gain Plot</t>
  </si>
  <si>
    <t xml:space="preserve">Frequency</t>
  </si>
  <si>
    <t xml:space="preserve">dB</t>
  </si>
  <si>
    <t xml:space="preserve">Error Amp Model</t>
  </si>
  <si>
    <t xml:space="preserve">DC = </t>
  </si>
  <si>
    <t xml:space="preserve">Gain resistor R1, Ω = </t>
  </si>
  <si>
    <t xml:space="preserve">1 Decade =</t>
  </si>
  <si>
    <t xml:space="preserve">Gain required to set unity at Fco, A = </t>
  </si>
  <si>
    <t xml:space="preserve">Feedback resistor R2, Ω =</t>
  </si>
  <si>
    <t xml:space="preserve">Select standard value for R2, Ω =</t>
  </si>
  <si>
    <t xml:space="preserve">Digikey P3.40KCCT-ND</t>
  </si>
  <si>
    <t xml:space="preserve">1 Decade above Cp =</t>
  </si>
  <si>
    <t xml:space="preserve">Gain for standard value R2, dB =</t>
  </si>
  <si>
    <t xml:space="preserve">Desired cross-over frequency, Fco =</t>
  </si>
  <si>
    <t xml:space="preserve">Approximate Fco using standard value R2, Hz =</t>
  </si>
  <si>
    <t xml:space="preserve">C1 value to set zero at Cp, F =</t>
  </si>
  <si>
    <t xml:space="preserve">Select standard value for C1, F =</t>
  </si>
  <si>
    <t xml:space="preserve">Bin 1-30, Digikey #1276-1090-1-ND</t>
  </si>
  <si>
    <t xml:space="preserve">C1 zero using standard value, F =</t>
  </si>
  <si>
    <t xml:space="preserve">Capacitor C2 to cancel Cp ESR zero, F =</t>
  </si>
  <si>
    <t xml:space="preserve">Select standard value for C2, F =</t>
  </si>
  <si>
    <t xml:space="preserve">Digikey 399-15458-1-ND</t>
  </si>
  <si>
    <t xml:space="preserve">EA Plot Data</t>
  </si>
  <si>
    <t xml:space="preserve">C2 pole frequency based on standard value, F =</t>
  </si>
  <si>
    <t xml:space="preserve">Gate Drive Requirements</t>
  </si>
  <si>
    <t xml:space="preserve">Inverter input voltage (Vin) :</t>
  </si>
  <si>
    <t xml:space="preserve">Minimum</t>
  </si>
  <si>
    <t xml:space="preserve">Transistor:</t>
  </si>
  <si>
    <t xml:space="preserve">IPD053N06N</t>
  </si>
  <si>
    <t xml:space="preserve">Gate to Drain (reverse transfer) capacitance, Crss, pF = </t>
  </si>
  <si>
    <t xml:space="preserve">Gate to Source (input) capacitance, Ciss, pF = </t>
  </si>
  <si>
    <t xml:space="preserve">Coss, pF = </t>
  </si>
  <si>
    <t xml:space="preserve">Rise time, Tr, ns  = </t>
  </si>
  <si>
    <t xml:space="preserve">Fall time, Tf, (seconds) = </t>
  </si>
  <si>
    <t xml:space="preserve">Vdd from data sheet for Tr spec, E = </t>
  </si>
  <si>
    <t xml:space="preserve">Drain voltage, Ed = </t>
  </si>
  <si>
    <t xml:space="preserve">Gate voltage, Eg = </t>
  </si>
  <si>
    <t xml:space="preserve">Current required, Iiss = </t>
  </si>
  <si>
    <t xml:space="preserve">Current required, Irss = </t>
  </si>
  <si>
    <t xml:space="preserve">Total required gate current, Ig = </t>
  </si>
  <si>
    <t xml:space="preserve">Total input capacitance, Cin = </t>
  </si>
  <si>
    <t xml:space="preserve">Gate resistor, Ω = </t>
  </si>
  <si>
    <t xml:space="preserve">Use 805 size, bin 3-8, Digikey #541-5.10TCT-ND</t>
  </si>
  <si>
    <t xml:space="preserve">Gate charge/discharge 1 time constant = </t>
  </si>
  <si>
    <t xml:space="preserve">Gate charge/discharge 3 time constants (effectively charged) = </t>
  </si>
  <si>
    <t xml:space="preserve">Peak resistor current = </t>
  </si>
  <si>
    <t xml:space="preserve">Constant (averaged) current required to replace gate charge =</t>
  </si>
  <si>
    <t xml:space="preserve">Resistor power dissipation (1st order, worst case) = </t>
  </si>
  <si>
    <t xml:space="preserve">Instantaenous voltage drop across low side gate resistor when same side high turns on with data sheet dv/dt = </t>
  </si>
  <si>
    <t xml:space="preserve">RC Snubber</t>
  </si>
  <si>
    <t xml:space="preserve">Use this model for a fixed duty cycle snubber design with no diode; the resistor is used for charge &amp; discharge.</t>
  </si>
  <si>
    <t xml:space="preserve">Value for snubber capacitor, C, (uF) = </t>
  </si>
  <si>
    <t xml:space="preserve">Use Vin(min) &amp; Iin(max) to calculate.</t>
  </si>
  <si>
    <t xml:space="preserve">Value for snubber resistor, R, (Ω) = </t>
  </si>
  <si>
    <t xml:space="preserve">Snubber resistor, R, power dissipation, watts = </t>
  </si>
  <si>
    <r>
      <rPr>
        <b val="true"/>
        <sz val="12"/>
        <color rgb="FF000000"/>
        <rFont val="Calibri"/>
        <family val="2"/>
        <charset val="1"/>
      </rPr>
      <t xml:space="preserve">To obtain maximum dissipation Vin must be set to minimum for correct RC values.</t>
    </r>
    <r>
      <rPr>
        <sz val="12"/>
        <color rgb="FF000000"/>
        <rFont val="Calibri"/>
        <family val="2"/>
        <charset val="1"/>
      </rPr>
      <t xml:space="preserve">  The formula is derrived from the standard instantaneous power equation Ws=1/2CV</t>
    </r>
    <r>
      <rPr>
        <vertAlign val="superscript"/>
        <sz val="12"/>
        <color rgb="FF000000"/>
        <rFont val="Calibri (Body)"/>
        <family val="0"/>
        <charset val="1"/>
      </rPr>
      <t xml:space="preserve">2</t>
    </r>
    <r>
      <rPr>
        <sz val="12"/>
        <color rgb="FF000000"/>
        <rFont val="Calibri"/>
        <family val="2"/>
        <charset val="1"/>
      </rPr>
      <t xml:space="preserve">.  The constant 1/2 is removed since R endures dissipation twice during each cycle:  at switch turn-on C discharges and again at turn-off C charges.  This value is multiplied by the switching frequency to obtain total dissipation.  The formula is hard-coded for Vin_max.</t>
    </r>
  </si>
  <si>
    <t xml:space="preserve">1 RC time constant = </t>
  </si>
  <si>
    <t xml:space="preserve">Should match fall time, Tf.</t>
  </si>
  <si>
    <t xml:space="preserve">Total supply current, amps = </t>
  </si>
  <si>
    <t xml:space="preserve">Represents the constant (averaged) current the snubbers will consume.</t>
  </si>
  <si>
    <t xml:space="preserve">*** Parasitic Inductance Flyback Estimator ***</t>
  </si>
  <si>
    <t xml:space="preserve">Uses gate discharge time combined with fall time (Tf) and transformer maximum primary current to establish di/dt</t>
  </si>
  <si>
    <t xml:space="preserve">Parasitic inductance (H) = </t>
  </si>
  <si>
    <t xml:space="preserve">Estimate of TO220 lead inductance (Effect of Source Inductance on MOSFET Rise and Fall Times, Alan Elbanhawy) and assumes that gate driver source connection is not in current path.  Use maximum expected drain current.</t>
  </si>
  <si>
    <t xml:space="preserve">Peak flyback voltage (E) = </t>
  </si>
  <si>
    <t xml:space="preserve">Monolithic Gate Driver Bootstrap Components</t>
  </si>
  <si>
    <t xml:space="preserve">Capacitor Sizing</t>
  </si>
  <si>
    <t xml:space="preserve">Unit</t>
  </si>
  <si>
    <r>
      <rPr>
        <sz val="12"/>
        <color rgb="FF000000"/>
        <rFont val="Courier New"/>
        <family val="1"/>
        <charset val="1"/>
      </rPr>
      <t xml:space="preserve">Floating section quiescent current, I</t>
    </r>
    <r>
      <rPr>
        <vertAlign val="subscript"/>
        <sz val="12"/>
        <color rgb="FF000000"/>
        <rFont val="Courier New"/>
        <family val="1"/>
        <charset val="1"/>
      </rPr>
      <t xml:space="preserve">qbs</t>
    </r>
    <r>
      <rPr>
        <sz val="12"/>
        <color rgb="FF000000"/>
        <rFont val="Courier New"/>
        <family val="1"/>
        <charset val="1"/>
      </rPr>
      <t xml:space="preserve"> = </t>
    </r>
  </si>
  <si>
    <t xml:space="preserve">Ampere</t>
  </si>
  <si>
    <t xml:space="preserve">Taken from IR2010 data sheet, page 4</t>
  </si>
  <si>
    <r>
      <rPr>
        <sz val="12"/>
        <color rgb="FF000000"/>
        <rFont val="Courier New"/>
        <family val="1"/>
        <charset val="1"/>
      </rPr>
      <t xml:space="preserve">Floating section leakage current, I</t>
    </r>
    <r>
      <rPr>
        <vertAlign val="subscript"/>
        <sz val="12"/>
        <color rgb="FF000000"/>
        <rFont val="Courier New"/>
        <family val="1"/>
        <charset val="1"/>
      </rPr>
      <t xml:space="preserve">lk</t>
    </r>
    <r>
      <rPr>
        <sz val="12"/>
        <color rgb="FF000000"/>
        <rFont val="Courier New"/>
        <family val="1"/>
        <charset val="1"/>
      </rPr>
      <t xml:space="preserve"> = </t>
    </r>
  </si>
  <si>
    <r>
      <rPr>
        <sz val="12"/>
        <color rgb="FF000000"/>
        <rFont val="Courier New"/>
        <family val="1"/>
        <charset val="1"/>
      </rPr>
      <t xml:space="preserve">Turn-on required gate charge, Q</t>
    </r>
    <r>
      <rPr>
        <vertAlign val="subscript"/>
        <sz val="12"/>
        <color rgb="FF000000"/>
        <rFont val="Courier New"/>
        <family val="1"/>
        <charset val="1"/>
      </rPr>
      <t xml:space="preserve">G</t>
    </r>
    <r>
      <rPr>
        <sz val="12"/>
        <color rgb="FF000000"/>
        <rFont val="Courier New"/>
        <family val="1"/>
        <charset val="1"/>
      </rPr>
      <t xml:space="preserve"> = </t>
    </r>
  </si>
  <si>
    <t xml:space="preserve">Coulomb</t>
  </si>
  <si>
    <t xml:space="preserve">Taken from IPD053N06N data sheet, page 3</t>
  </si>
  <si>
    <r>
      <rPr>
        <sz val="12"/>
        <color rgb="FF000000"/>
        <rFont val="Courier New"/>
        <family val="1"/>
        <charset val="1"/>
      </rPr>
      <t xml:space="preserve">Charge required by the internal level shifters, Q</t>
    </r>
    <r>
      <rPr>
        <vertAlign val="subscript"/>
        <sz val="12"/>
        <color rgb="FF000000"/>
        <rFont val="Courier New"/>
        <family val="1"/>
        <charset val="1"/>
      </rPr>
      <t xml:space="preserve">ls</t>
    </r>
    <r>
      <rPr>
        <sz val="12"/>
        <color rgb="FF000000"/>
        <rFont val="Courier New"/>
        <family val="1"/>
        <charset val="1"/>
      </rPr>
      <t xml:space="preserve"> = </t>
    </r>
  </si>
  <si>
    <t xml:space="preserve">Not available on IR2010 data sheet; using estimated value of 20nC</t>
  </si>
  <si>
    <r>
      <rPr>
        <sz val="12"/>
        <color rgb="FF000000"/>
        <rFont val="Courier New"/>
        <family val="1"/>
        <charset val="1"/>
      </rPr>
      <t xml:space="preserve">Gate-source leakage current, I</t>
    </r>
    <r>
      <rPr>
        <vertAlign val="subscript"/>
        <sz val="12"/>
        <color rgb="FF000000"/>
        <rFont val="Courier New"/>
        <family val="1"/>
        <charset val="1"/>
      </rPr>
      <t xml:space="preserve">lk_GS</t>
    </r>
    <r>
      <rPr>
        <sz val="12"/>
        <color rgb="FF000000"/>
        <rFont val="Courier New"/>
        <family val="1"/>
        <charset val="1"/>
      </rPr>
      <t xml:space="preserve"> = </t>
    </r>
  </si>
  <si>
    <t xml:space="preserve">Taken from IPD053N06N data sheet, page 2, Igss</t>
  </si>
  <si>
    <r>
      <rPr>
        <sz val="12"/>
        <color rgb="FF000000"/>
        <rFont val="Courier New"/>
        <family val="1"/>
        <charset val="1"/>
      </rPr>
      <t xml:space="preserve">Bootstrap diode leakage current, I</t>
    </r>
    <r>
      <rPr>
        <vertAlign val="subscript"/>
        <sz val="12"/>
        <color rgb="FF000000"/>
        <rFont val="Courier New"/>
        <family val="1"/>
        <charset val="1"/>
      </rPr>
      <t xml:space="preserve">lk_bsdiode</t>
    </r>
    <r>
      <rPr>
        <sz val="12"/>
        <color rgb="FF000000"/>
        <rFont val="Courier New"/>
        <family val="1"/>
        <charset val="1"/>
      </rPr>
      <t xml:space="preserve"> = </t>
    </r>
  </si>
  <si>
    <t xml:space="preserve">Taken from MBRS360BT3G data sheet, page 3, Fig. 4 Vr=30V &amp; Ta=100C.  Bin 6-13</t>
  </si>
  <si>
    <r>
      <rPr>
        <sz val="12"/>
        <color rgb="FF000000"/>
        <rFont val="Courier New"/>
        <family val="1"/>
        <charset val="1"/>
      </rPr>
      <t xml:space="preserve">Bootstrap diode forward voltage, V</t>
    </r>
    <r>
      <rPr>
        <vertAlign val="subscript"/>
        <sz val="12"/>
        <color rgb="FF000000"/>
        <rFont val="Courier New"/>
        <family val="1"/>
        <charset val="1"/>
      </rPr>
      <t xml:space="preserve">f_bsdiode</t>
    </r>
    <r>
      <rPr>
        <sz val="12"/>
        <color rgb="FF000000"/>
        <rFont val="Courier New"/>
        <family val="1"/>
        <charset val="1"/>
      </rPr>
      <t xml:space="preserve"> = </t>
    </r>
  </si>
  <si>
    <t xml:space="preserve">Volt</t>
  </si>
  <si>
    <t xml:space="preserve">Taken from MBRS360BT3G data sheet, page 3, If=3A &amp; Tj=25C</t>
  </si>
  <si>
    <r>
      <rPr>
        <sz val="12"/>
        <color rgb="FF000000"/>
        <rFont val="Courier New"/>
        <family val="1"/>
        <charset val="1"/>
      </rPr>
      <t xml:space="preserve">Bootstrap capacitor leakage current, I</t>
    </r>
    <r>
      <rPr>
        <vertAlign val="subscript"/>
        <sz val="12"/>
        <color rgb="FF000000"/>
        <rFont val="Courier New"/>
        <family val="1"/>
        <charset val="1"/>
      </rPr>
      <t xml:space="preserve">lk_cap</t>
    </r>
    <r>
      <rPr>
        <sz val="12"/>
        <color rgb="FF000000"/>
        <rFont val="Courier New"/>
        <family val="1"/>
        <charset val="1"/>
      </rPr>
      <t xml:space="preserve"> = </t>
    </r>
  </si>
  <si>
    <t xml:space="preserve">Can be zero if using ceramic caps</t>
  </si>
  <si>
    <r>
      <rPr>
        <sz val="12"/>
        <color rgb="FF000000"/>
        <rFont val="Courier New"/>
        <family val="1"/>
        <charset val="1"/>
      </rPr>
      <t xml:space="preserve">Desaturation detection bias current when on, I</t>
    </r>
    <r>
      <rPr>
        <vertAlign val="subscript"/>
        <sz val="12"/>
        <color rgb="FF000000"/>
        <rFont val="Courier New"/>
        <family val="1"/>
        <charset val="1"/>
      </rPr>
      <t xml:space="preserve">ds_sat</t>
    </r>
    <r>
      <rPr>
        <sz val="12"/>
        <color rgb="FF000000"/>
        <rFont val="Courier New"/>
        <family val="1"/>
        <charset val="1"/>
      </rPr>
      <t xml:space="preserve"> = </t>
    </r>
  </si>
  <si>
    <t xml:space="preserve">Not used with IR2010 driver</t>
  </si>
  <si>
    <r>
      <rPr>
        <sz val="12"/>
        <color rgb="FF000000"/>
        <rFont val="Courier New"/>
        <family val="1"/>
        <charset val="1"/>
      </rPr>
      <t xml:space="preserve">Maximum high side time on, T</t>
    </r>
    <r>
      <rPr>
        <vertAlign val="subscript"/>
        <sz val="12"/>
        <color rgb="FF000000"/>
        <rFont val="Courier New"/>
        <family val="1"/>
        <charset val="1"/>
      </rPr>
      <t xml:space="preserve">on_inv</t>
    </r>
    <r>
      <rPr>
        <sz val="12"/>
        <color rgb="FF000000"/>
        <rFont val="Courier New"/>
        <family val="1"/>
        <charset val="1"/>
      </rPr>
      <t xml:space="preserve"> = </t>
    </r>
  </si>
  <si>
    <t xml:space="preserve">Second</t>
  </si>
  <si>
    <t xml:space="preserve">Set Input @ MPPT, V on LC tab to min to obtain max on-time</t>
  </si>
  <si>
    <r>
      <rPr>
        <sz val="12"/>
        <color rgb="FF000000"/>
        <rFont val="Courier New"/>
        <family val="1"/>
        <charset val="1"/>
      </rPr>
      <t xml:space="preserve">Minimum bootstrap supply voltage, V</t>
    </r>
    <r>
      <rPr>
        <vertAlign val="subscript"/>
        <sz val="12"/>
        <color rgb="FF000000"/>
        <rFont val="Courier New"/>
        <family val="1"/>
        <charset val="1"/>
      </rPr>
      <t xml:space="preserve">cc</t>
    </r>
    <r>
      <rPr>
        <sz val="12"/>
        <color rgb="FF000000"/>
        <rFont val="Courier New"/>
        <family val="1"/>
        <charset val="1"/>
      </rPr>
      <t xml:space="preserve"> = </t>
    </r>
  </si>
  <si>
    <r>
      <rPr>
        <sz val="12"/>
        <color rgb="FF000000"/>
        <rFont val="Courier New"/>
        <family val="1"/>
        <charset val="1"/>
      </rPr>
      <t xml:space="preserve">Maximum D-S on voltage of low side, V</t>
    </r>
    <r>
      <rPr>
        <vertAlign val="subscript"/>
        <sz val="12"/>
        <color rgb="FF000000"/>
        <rFont val="Courier New"/>
        <family val="1"/>
        <charset val="1"/>
      </rPr>
      <t xml:space="preserve">dson_max</t>
    </r>
    <r>
      <rPr>
        <sz val="12"/>
        <color rgb="FF000000"/>
        <rFont val="Courier New"/>
        <family val="1"/>
        <charset val="1"/>
      </rPr>
      <t xml:space="preserve"> = </t>
    </r>
  </si>
  <si>
    <t xml:space="preserve">Calculated with Rds_on from Figure 9, pg 6 of IPD053N06N data sheet for 120C.</t>
  </si>
  <si>
    <r>
      <rPr>
        <sz val="12"/>
        <color rgb="FF000000"/>
        <rFont val="Courier New"/>
        <family val="1"/>
        <charset val="1"/>
      </rPr>
      <t xml:space="preserve">Minimum G-S on voltage to maintain, V</t>
    </r>
    <r>
      <rPr>
        <vertAlign val="subscript"/>
        <sz val="12"/>
        <color rgb="FF000000"/>
        <rFont val="Courier New"/>
        <family val="1"/>
        <charset val="1"/>
      </rPr>
      <t xml:space="preserve">gson_min</t>
    </r>
    <r>
      <rPr>
        <sz val="12"/>
        <color rgb="FF000000"/>
        <rFont val="Courier New"/>
        <family val="1"/>
        <charset val="1"/>
      </rPr>
      <t xml:space="preserve"> = </t>
    </r>
  </si>
  <si>
    <t xml:space="preserve">Taken from CSD19535KCS data sheet, page 3 Rds(on) spec</t>
  </si>
  <si>
    <r>
      <rPr>
        <sz val="12"/>
        <color rgb="FF000000"/>
        <rFont val="Courier New"/>
        <family val="1"/>
        <charset val="1"/>
      </rPr>
      <t xml:space="preserve">Charge total, Q</t>
    </r>
    <r>
      <rPr>
        <vertAlign val="subscript"/>
        <sz val="12"/>
        <color rgb="FF000000"/>
        <rFont val="Courier New"/>
        <family val="1"/>
        <charset val="1"/>
      </rPr>
      <t xml:space="preserve">T</t>
    </r>
    <r>
      <rPr>
        <sz val="12"/>
        <color rgb="FF000000"/>
        <rFont val="Courier New"/>
        <family val="1"/>
        <charset val="1"/>
      </rPr>
      <t xml:space="preserve"> = </t>
    </r>
  </si>
  <si>
    <r>
      <rPr>
        <sz val="12"/>
        <color rgb="FF000000"/>
        <rFont val="Courier New"/>
        <family val="1"/>
        <charset val="1"/>
      </rPr>
      <t xml:space="preserve">Bootstrap capacitor voltage margin over Vgson_min, V</t>
    </r>
    <r>
      <rPr>
        <vertAlign val="subscript"/>
        <sz val="12"/>
        <color rgb="FF000000"/>
        <rFont val="Courier New"/>
        <family val="1"/>
        <charset val="1"/>
      </rPr>
      <t xml:space="preserve">bs</t>
    </r>
    <r>
      <rPr>
        <sz val="12"/>
        <color rgb="FF000000"/>
        <rFont val="Courier New"/>
        <family val="1"/>
        <charset val="1"/>
      </rPr>
      <t xml:space="preserve">,= </t>
    </r>
  </si>
  <si>
    <r>
      <rPr>
        <sz val="12"/>
        <color rgb="FF000000"/>
        <rFont val="Courier New"/>
        <family val="1"/>
        <charset val="1"/>
      </rPr>
      <t xml:space="preserve">Minimum bootstrap capacitor value, C</t>
    </r>
    <r>
      <rPr>
        <vertAlign val="subscript"/>
        <sz val="12"/>
        <color rgb="FF000000"/>
        <rFont val="Courier New"/>
        <family val="1"/>
        <charset val="1"/>
      </rPr>
      <t xml:space="preserve">boot</t>
    </r>
    <r>
      <rPr>
        <sz val="12"/>
        <color rgb="FF000000"/>
        <rFont val="Courier New"/>
        <family val="1"/>
        <charset val="1"/>
      </rPr>
      <t xml:space="preserve"> = </t>
    </r>
  </si>
  <si>
    <t xml:space="preserve">Farad</t>
  </si>
  <si>
    <r>
      <rPr>
        <sz val="12"/>
        <color rgb="FF000000"/>
        <rFont val="Courier New"/>
        <family val="1"/>
        <charset val="1"/>
      </rPr>
      <t xml:space="preserve">Double C</t>
    </r>
    <r>
      <rPr>
        <vertAlign val="subscript"/>
        <sz val="12"/>
        <color rgb="FF000000"/>
        <rFont val="Courier New"/>
        <family val="1"/>
        <charset val="1"/>
      </rPr>
      <t xml:space="preserve">boot</t>
    </r>
    <r>
      <rPr>
        <sz val="12"/>
        <color rgb="FF000000"/>
        <rFont val="Courier New"/>
        <family val="1"/>
        <charset val="1"/>
      </rPr>
      <t xml:space="preserve"> value for operating margin = </t>
    </r>
  </si>
  <si>
    <r>
      <rPr>
        <sz val="12"/>
        <color rgb="FF000000"/>
        <rFont val="Courier New"/>
        <family val="1"/>
        <charset val="1"/>
      </rPr>
      <t xml:space="preserve">Round C</t>
    </r>
    <r>
      <rPr>
        <vertAlign val="subscript"/>
        <sz val="12"/>
        <color rgb="FF000000"/>
        <rFont val="Courier New"/>
        <family val="1"/>
        <charset val="1"/>
      </rPr>
      <t xml:space="preserve">boot</t>
    </r>
    <r>
      <rPr>
        <sz val="12"/>
        <color rgb="FF000000"/>
        <rFont val="Courier New"/>
        <family val="1"/>
        <charset val="1"/>
      </rPr>
      <t xml:space="preserve"> up to standard value  = </t>
    </r>
  </si>
  <si>
    <t xml:space="preserve">Bin 4-14, Digikey #1276-3149-1-ND.</t>
  </si>
  <si>
    <t xml:space="preserve">Diode &amp; Resistor Sizing</t>
  </si>
  <si>
    <r>
      <rPr>
        <sz val="12"/>
        <color rgb="FF000000"/>
        <rFont val="Courier New"/>
        <family val="1"/>
        <charset val="1"/>
      </rPr>
      <t xml:space="preserve">Bootstrap resistor value, R</t>
    </r>
    <r>
      <rPr>
        <vertAlign val="subscript"/>
        <sz val="12"/>
        <color rgb="FF000000"/>
        <rFont val="Courier New"/>
        <family val="1"/>
        <charset val="1"/>
      </rPr>
      <t xml:space="preserve">boot</t>
    </r>
    <r>
      <rPr>
        <sz val="12"/>
        <color rgb="FF000000"/>
        <rFont val="Courier New"/>
        <family val="1"/>
        <charset val="1"/>
      </rPr>
      <t xml:space="preserve"> = </t>
    </r>
  </si>
  <si>
    <t xml:space="preserve">Ohms</t>
  </si>
  <si>
    <t xml:space="preserve">Digikey P19292CT-ND.</t>
  </si>
  <si>
    <t xml:space="preserve">Time constant = </t>
  </si>
  <si>
    <t xml:space="preserve">Minimum bootstrap charge voltage = </t>
  </si>
  <si>
    <t xml:space="preserve">Time to reach full charge = </t>
  </si>
  <si>
    <t xml:space="preserve">Stated figure assumes Cboot is completely discharged on each cycle but on average only QT must be replenished.</t>
  </si>
  <si>
    <t xml:space="preserve">Current required = </t>
  </si>
  <si>
    <t xml:space="preserve">Max allowed by selected BS diode=3A</t>
  </si>
  <si>
    <t xml:space="preserve">Resistor peak voltage drop  = </t>
  </si>
  <si>
    <t xml:space="preserve">Resistor avg. power dissipation (1st order) = </t>
  </si>
  <si>
    <t xml:space="preserve">Watt</t>
  </si>
  <si>
    <r>
      <rPr>
        <sz val="12"/>
        <color rgb="FF000000"/>
        <rFont val="Calibri"/>
        <family val="2"/>
        <charset val="1"/>
      </rPr>
      <t xml:space="preserve">Stated figure assumes Cboot is completely discharged on each cycle but on average only Q</t>
    </r>
    <r>
      <rPr>
        <vertAlign val="subscript"/>
        <sz val="12"/>
        <color rgb="FF000000"/>
        <rFont val="Calibri (Body)"/>
        <family val="0"/>
        <charset val="1"/>
      </rPr>
      <t xml:space="preserve">T</t>
    </r>
    <r>
      <rPr>
        <sz val="12"/>
        <color rgb="FF000000"/>
        <rFont val="Calibri"/>
        <family val="2"/>
        <charset val="1"/>
      </rPr>
      <t xml:space="preserve"> must be replenished.</t>
    </r>
  </si>
  <si>
    <t xml:space="preserve">Diode avg. power dissipation (1st order) = </t>
  </si>
  <si>
    <t xml:space="preserve">Section / Sheet</t>
  </si>
  <si>
    <t xml:space="preserve">Component Name</t>
  </si>
  <si>
    <t xml:space="preserve">Qty</t>
  </si>
  <si>
    <t xml:space="preserve">Bin</t>
  </si>
  <si>
    <t xml:space="preserve">Order</t>
  </si>
  <si>
    <t xml:space="preserve">Package</t>
  </si>
  <si>
    <t xml:space="preserve">Vendor</t>
  </si>
  <si>
    <t xml:space="preserve">Part #</t>
  </si>
  <si>
    <t xml:space="preserve">Alt. 1 Part #</t>
  </si>
  <si>
    <t xml:space="preserve">Alt. 2 Part #</t>
  </si>
  <si>
    <t xml:space="preserve">crsense</t>
  </si>
  <si>
    <t xml:space="preserve">180pF</t>
  </si>
  <si>
    <t xml:space="preserve">23</t>
  </si>
  <si>
    <t xml:space="preserve">Y</t>
  </si>
  <si>
    <t xml:space="preserve">805</t>
  </si>
  <si>
    <t xml:space="preserve">Digikey</t>
  </si>
  <si>
    <t xml:space="preserve">1276-1129-1-ND</t>
  </si>
  <si>
    <t xml:space="preserve"> 180pF ±5% 50V Ceramic Capacitor C0G, NP0 0805 (2012 Metric)</t>
  </si>
  <si>
    <t xml:space="preserve">Amplifier noise attenuation</t>
  </si>
  <si>
    <t xml:space="preserve">outputsw</t>
  </si>
  <si>
    <t xml:space="preserve">C16</t>
  </si>
  <si>
    <t xml:space="preserve">6.8nF</t>
  </si>
  <si>
    <t xml:space="preserve">24</t>
  </si>
  <si>
    <t xml:space="preserve">1276-1799-1-ND</t>
  </si>
  <si>
    <t xml:space="preserve">6800pF ±10% 50V Ceramic Capacitor X7R 0805 (2012 Metric)</t>
  </si>
  <si>
    <t xml:space="preserve">Ripple filter</t>
  </si>
  <si>
    <t xml:space="preserve">Controller</t>
  </si>
  <si>
    <t xml:space="preserve">C3</t>
  </si>
  <si>
    <t xml:space="preserve">200pF</t>
  </si>
  <si>
    <t xml:space="preserve">25</t>
  </si>
  <si>
    <t xml:space="preserve">1276-2601-1-ND</t>
  </si>
  <si>
    <t xml:space="preserve">1276-2497-1-ND
0.27µF ±5% 16V Ceramic Capacitor X7R 0805 (2012 Metric) 
For type 1 pole cap.</t>
  </si>
  <si>
    <t xml:space="preserve">200pF ±5% 50V Ceramic Capacitor C0G, NP0 0805 (2012 Metric)</t>
  </si>
  <si>
    <t xml:space="preserve">Error amp pole capacitor filter</t>
  </si>
  <si>
    <t xml:space="preserve">switch</t>
  </si>
  <si>
    <t xml:space="preserve">240pF</t>
  </si>
  <si>
    <t xml:space="preserve">26</t>
  </si>
  <si>
    <t xml:space="preserve">1276-2620-1-ND</t>
  </si>
  <si>
    <t xml:space="preserve">240pF ±5% 50V Ceramic Capacitor C0G, NP0 0805 (2012 Metric)</t>
  </si>
  <si>
    <t xml:space="preserve">Power switch snubber capacitor</t>
  </si>
  <si>
    <t xml:space="preserve">10nF</t>
  </si>
  <si>
    <t xml:space="preserve">1276-2984-1-ND</t>
  </si>
  <si>
    <t xml:space="preserve">10000pF ±5% 50V Ceramic Capacitor C0G, NP0 0805 (2012 Metric)</t>
  </si>
  <si>
    <t xml:space="preserve">Error amp zero capacitor filter</t>
  </si>
  <si>
    <t xml:space="preserve">0.27uF</t>
  </si>
  <si>
    <t xml:space="preserve">22</t>
  </si>
  <si>
    <t xml:space="preserve">1206</t>
  </si>
  <si>
    <t xml:space="preserve">1276-3149-1-ND</t>
  </si>
  <si>
    <t xml:space="preserve"> 0.27µF ±10% 50V Ceramic Capacitor X7R 1206 (3216 Metric)</t>
  </si>
  <si>
    <t xml:space="preserve">Bootstrap capacitor</t>
  </si>
  <si>
    <t xml:space="preserve">C14</t>
  </si>
  <si>
    <t xml:space="preserve">10uF</t>
  </si>
  <si>
    <t xml:space="preserve">8</t>
  </si>
  <si>
    <t xml:space="preserve">1210</t>
  </si>
  <si>
    <t xml:space="preserve">1276-3388-1-ND</t>
  </si>
  <si>
    <t xml:space="preserve">10µF ±10% 50V Ceramic Capacitor X7R 1210 (3225 Metric) </t>
  </si>
  <si>
    <t xml:space="preserve">HF decoupling</t>
  </si>
  <si>
    <t xml:space="preserve">dcbus</t>
  </si>
  <si>
    <t xml:space="preserve">C17</t>
  </si>
  <si>
    <t xml:space="preserve">5vreg</t>
  </si>
  <si>
    <t xml:space="preserve">C8</t>
  </si>
  <si>
    <t xml:space="preserve">5V regulator output decoupling</t>
  </si>
  <si>
    <t xml:space="preserve">19</t>
  </si>
  <si>
    <t xml:space="preserve">311-0.0ARCT-ND</t>
  </si>
  <si>
    <t xml:space="preserve">0 Ohms Jumper 0.125W, 1/8W Chip Resistor 0805 (2012 Metric) Moisture Resistant Thick Film</t>
  </si>
  <si>
    <t xml:space="preserve">Jumper to connect sense circuit</t>
  </si>
  <si>
    <t xml:space="preserve">ctsense</t>
  </si>
  <si>
    <t xml:space="preserve">C12, C13</t>
  </si>
  <si>
    <t xml:space="preserve">150uF</t>
  </si>
  <si>
    <t xml:space="preserve">11</t>
  </si>
  <si>
    <t xml:space="preserve">e3,5-8</t>
  </si>
  <si>
    <t xml:space="preserve">35PZE150M8X9-ND</t>
  </si>
  <si>
    <t xml:space="preserve">150µF 35V Aluminum Polymer Capacitor Radial, Can 27 mOhm 10000 Hrs @ 105°C</t>
  </si>
  <si>
    <t xml:space="preserve">Vcc bulk capacitor for gate drive</t>
  </si>
  <si>
    <t xml:space="preserve">C19, C20</t>
  </si>
  <si>
    <t xml:space="preserve">270uF</t>
  </si>
  <si>
    <t xml:space="preserve">E5-10,5</t>
  </si>
  <si>
    <t xml:space="preserve">35PZE270M10X9-ND</t>
  </si>
  <si>
    <t xml:space="preserve">270µF 35V Aluminum Polymer Capacitor Radial, Can 20 mOhm 10000 Hrs @ 105°C</t>
  </si>
  <si>
    <t xml:space="preserve">Bulk supply for switching circuit</t>
  </si>
  <si>
    <t xml:space="preserve">output</t>
  </si>
  <si>
    <t xml:space="preserve">C22</t>
  </si>
  <si>
    <t xml:space="preserve">1uF</t>
  </si>
  <si>
    <t xml:space="preserve">9</t>
  </si>
  <si>
    <t xml:space="preserve">399-8147-1-ND</t>
  </si>
  <si>
    <t xml:space="preserve">1µF ±10% 50V Ceramic Capacitor X7R 1206 (3216 Metric) </t>
  </si>
  <si>
    <t xml:space="preserve">Output noise decoupling</t>
  </si>
  <si>
    <t xml:space="preserve">C10</t>
  </si>
  <si>
    <t xml:space="preserve">Noise decoupling</t>
  </si>
  <si>
    <t xml:space="preserve">C7</t>
  </si>
  <si>
    <t xml:space="preserve">5V regulator input decoupling</t>
  </si>
  <si>
    <t xml:space="preserve">C1</t>
  </si>
  <si>
    <t xml:space="preserve">Controller power decoupling</t>
  </si>
  <si>
    <t xml:space="preserve">C4</t>
  </si>
  <si>
    <t xml:space="preserve">Voltage sense filter / integrator</t>
  </si>
  <si>
    <t xml:space="preserve">C2</t>
  </si>
  <si>
    <t xml:space="preserve">DC Bus sense filter / integrator</t>
  </si>
  <si>
    <t xml:space="preserve">C23</t>
  </si>
  <si>
    <t xml:space="preserve">0.1uF</t>
  </si>
  <si>
    <t xml:space="preserve">1276-1090-1-ND</t>
  </si>
  <si>
    <t xml:space="preserve">0.1µF ±5% 50V Ceramic Capacitor X7R 0805 (2012 Metric) </t>
  </si>
  <si>
    <t xml:space="preserve">C9</t>
  </si>
  <si>
    <t xml:space="preserve">Noise decoupling for shutdown pin</t>
  </si>
  <si>
    <t xml:space="preserve">12vin</t>
  </si>
  <si>
    <t xml:space="preserve">F1</t>
  </si>
  <si>
    <t xml:space="preserve">3.5A</t>
  </si>
  <si>
    <t xml:space="preserve">20</t>
  </si>
  <si>
    <t xml:space="preserve">507-1885-1-ND</t>
  </si>
  <si>
    <t xml:space="preserve">  F10008CT-ND</t>
  </si>
  <si>
    <t xml:space="preserve">FUSE 4.0A 125VAC FAST 1206</t>
  </si>
  <si>
    <t xml:space="preserve">Line input fuse</t>
  </si>
  <si>
    <t xml:space="preserve">Alternate has I2t rating of .777</t>
  </si>
  <si>
    <t xml:space="preserve">C6</t>
  </si>
  <si>
    <t xml:space="preserve">100uF</t>
  </si>
  <si>
    <t xml:space="preserve">N</t>
  </si>
  <si>
    <t xml:space="preserve">50PZE100M10X9-ND</t>
  </si>
  <si>
    <t xml:space="preserve">100µF ±20% 50V Aluminum Polymer Capacitor Radial, Can 28 mOhm 10000 Hrs @ 105°C </t>
  </si>
  <si>
    <t xml:space="preserve">5V regulator bulk input filter</t>
  </si>
  <si>
    <t xml:space="preserve">92uH</t>
  </si>
  <si>
    <t xml:space="preserve">32</t>
  </si>
  <si>
    <t xml:space="preserve">TOROID-MAGNETICS-55894A2</t>
  </si>
  <si>
    <t xml:space="preserve">N/A</t>
  </si>
  <si>
    <t xml:space="preserve">55894A2</t>
  </si>
  <si>
    <t xml:space="preserve">Custom toroid using Magnetics MPP 55894A2 core</t>
  </si>
  <si>
    <t xml:space="preserve">Output filter inductor</t>
  </si>
  <si>
    <t xml:space="preserve">gdisable</t>
  </si>
  <si>
    <t xml:space="preserve">CHS-01TB</t>
  </si>
  <si>
    <t xml:space="preserve">CTS-DIP-SMT-1</t>
  </si>
  <si>
    <t xml:space="preserve">563-1004-1-ND</t>
  </si>
  <si>
    <t xml:space="preserve">Dip Switch SPST 1 Position Surface Mount Slide (Standard) Actuator 100mA 6VDC </t>
  </si>
  <si>
    <t xml:space="preserve">Gate drive (bridge) disable switch</t>
  </si>
  <si>
    <t xml:space="preserve">status</t>
  </si>
  <si>
    <t xml:space="preserve">WP937EGW</t>
  </si>
  <si>
    <t xml:space="preserve">LED-BD</t>
  </si>
  <si>
    <t xml:space="preserve">754-1751-ND</t>
  </si>
  <si>
    <t xml:space="preserve">Kingbright LED grn/red diff 3mm round T/H</t>
  </si>
  <si>
    <t xml:space="preserve">Status indicator</t>
  </si>
  <si>
    <t xml:space="preserve">Bend @ 4mm, 2.5mm lead height from PCB</t>
  </si>
  <si>
    <t xml:space="preserve">ADA4000-1</t>
  </si>
  <si>
    <t xml:space="preserve">2</t>
  </si>
  <si>
    <t xml:space="preserve">SOT23-5</t>
  </si>
  <si>
    <t xml:space="preserve">ADA4000-1AUJZ-R7CT-ND</t>
  </si>
  <si>
    <t xml:space="preserve">J-FET Amplifier 1 Circuit TSOT-5</t>
  </si>
  <si>
    <t xml:space="preserve">Amplifier &amp; level shift</t>
  </si>
  <si>
    <t xml:space="preserve">D3</t>
  </si>
  <si>
    <t xml:space="preserve">B340LB-13-F</t>
  </si>
  <si>
    <t xml:space="preserve">7</t>
  </si>
  <si>
    <t xml:space="preserve">SMB</t>
  </si>
  <si>
    <t xml:space="preserve">B340LB-FDICT-ND</t>
  </si>
  <si>
    <t xml:space="preserve">Diode Schottky 40V 3A Surface Mount SMB </t>
  </si>
  <si>
    <t xml:space="preserve">High side bootstrap diiode</t>
  </si>
  <si>
    <t xml:space="preserve">TOROID-CT-B64290L0044X038-V</t>
  </si>
  <si>
    <t xml:space="preserve">B64290L0044X038</t>
  </si>
  <si>
    <t xml:space="preserve">Custom CT using TDK ferrite B64290L0044X038 core</t>
  </si>
  <si>
    <t xml:space="preserve">Current sense transformer</t>
  </si>
  <si>
    <t xml:space="preserve">TOROID-FLYBACK-B64290P0037X087-H</t>
  </si>
  <si>
    <t xml:space="preserve">B64290P0037X087</t>
  </si>
  <si>
    <t xml:space="preserve">Custom flyback using TDK ferrite B64290P0037X087 core</t>
  </si>
  <si>
    <t xml:space="preserve">Flyback for floating gate drive</t>
  </si>
  <si>
    <t xml:space="preserve">Q1</t>
  </si>
  <si>
    <t xml:space="preserve">BSN20</t>
  </si>
  <si>
    <t xml:space="preserve">5</t>
  </si>
  <si>
    <t xml:space="preserve">SOT23</t>
  </si>
  <si>
    <t xml:space="preserve">BSN20-7DICT-ND</t>
  </si>
  <si>
    <t xml:space="preserve">MOSFET N-CH 50V 500MA SOT23 </t>
  </si>
  <si>
    <t xml:space="preserve">Flyback primary switch</t>
  </si>
  <si>
    <t xml:space="preserve">OSTTC022162</t>
  </si>
  <si>
    <t xml:space="preserve">OSTTCO2</t>
  </si>
  <si>
    <t xml:space="preserve">ED2609-ND</t>
  </si>
  <si>
    <t xml:space="preserve">2 Position Wire to Board Terminal Block Horizontal with Board 0.200" (5.08mm) Through Hole </t>
  </si>
  <si>
    <t xml:space="preserve">5V DC output screw terminal block</t>
  </si>
  <si>
    <t xml:space="preserve">12V DC output screw terminal block</t>
  </si>
  <si>
    <t xml:space="preserve">100SP1T2B4M6QE</t>
  </si>
  <si>
    <t xml:space="preserve">EG2362-ND</t>
  </si>
  <si>
    <t xml:space="preserve">SWITCH TOGGLE SPDT 5A 120V, Toggle Switch SPDT Through Hole, Right Angle </t>
  </si>
  <si>
    <t xml:space="preserve">Line input switch</t>
  </si>
  <si>
    <t xml:space="preserve">icsp</t>
  </si>
  <si>
    <t xml:space="preserve">ZX62-AB-5PA(31)</t>
  </si>
  <si>
    <t xml:space="preserve">ZX62-AB</t>
  </si>
  <si>
    <t xml:space="preserve">H125279CT-ND</t>
  </si>
  <si>
    <t xml:space="preserve">CONN RCPT USB MICRO AB SMD R/A</t>
  </si>
  <si>
    <t xml:space="preserve">ICSP connector</t>
  </si>
  <si>
    <t xml:space="preserve">3</t>
  </si>
  <si>
    <t xml:space="preserve">TO-252-3</t>
  </si>
  <si>
    <t xml:space="preserve">IPD053N06NCT-ND</t>
  </si>
  <si>
    <t xml:space="preserve">N-Channel 60V 18A (Ta), 45A (Tc) 3W (Ta), 83W (Tc) Surface Mount PG-TO252-3 </t>
  </si>
  <si>
    <t xml:space="preserve">Output blocking switch</t>
  </si>
  <si>
    <t xml:space="preserve">MOSFET power switch</t>
  </si>
  <si>
    <t xml:space="preserve">IR2010SPBF</t>
  </si>
  <si>
    <t xml:space="preserve">1</t>
  </si>
  <si>
    <t xml:space="preserve">SOIC-16</t>
  </si>
  <si>
    <t xml:space="preserve">IR2010SPBF-ND</t>
  </si>
  <si>
    <t xml:space="preserve">Half-Bridge Gate Driver IC Non-Inverting 16-SOIC</t>
  </si>
  <si>
    <t xml:space="preserve">Half-bridge gate driver</t>
  </si>
  <si>
    <t xml:space="preserve">Enclosure</t>
  </si>
  <si>
    <t xml:space="preserve">Polycase</t>
  </si>
  <si>
    <t xml:space="preserve">LP-70FMB</t>
  </si>
  <si>
    <t xml:space="preserve">LP-70F LP Series ABS Plastic Enclosure for Electronics
5.50 x 4.25 x 1.75 in. / 139.70 x 107.95 x 44.45 mm. / 0.37 lbs</t>
  </si>
  <si>
    <t xml:space="preserve">Project enclosure</t>
  </si>
  <si>
    <t xml:space="preserve">R2010-4</t>
  </si>
  <si>
    <t xml:space="preserve">LVK20R020FERCT-ND</t>
  </si>
  <si>
    <t xml:space="preserve">±1% 0.75W, 3/4W Chip Resistor 2010 (5025 Metric) Anti-Corrosive, Current Sense, Moisture Resistant Thick Film </t>
  </si>
  <si>
    <t xml:space="preserve">Current sense resistor</t>
  </si>
  <si>
    <t xml:space="preserve">MBR0530</t>
  </si>
  <si>
    <t xml:space="preserve">6</t>
  </si>
  <si>
    <t xml:space="preserve">SOD123</t>
  </si>
  <si>
    <t xml:space="preserve">MBR0530CT-ND</t>
  </si>
  <si>
    <t xml:space="preserve">Diode Schottky 30V 500mA Surface Mount SOD-123 </t>
  </si>
  <si>
    <t xml:space="preserve">Blocking diode</t>
  </si>
  <si>
    <t xml:space="preserve">Rectifier</t>
  </si>
  <si>
    <t xml:space="preserve">U2</t>
  </si>
  <si>
    <t xml:space="preserve">NCP1117DT50G</t>
  </si>
  <si>
    <t xml:space="preserve">4</t>
  </si>
  <si>
    <t xml:space="preserve">Linear Voltage Regulator IC Positive Fixed Output 5V 1A DPAK-3 </t>
  </si>
  <si>
    <t xml:space="preserve">5V logic LDO regulator</t>
  </si>
  <si>
    <t xml:space="preserve">1K</t>
  </si>
  <si>
    <t xml:space="preserve">12</t>
  </si>
  <si>
    <t xml:space="preserve">P1.00KCCT-ND</t>
  </si>
  <si>
    <t xml:space="preserve">311-1.00KCRCT-ND</t>
  </si>
  <si>
    <t xml:space="preserve">RES SMD 1K OHM 1% 1/8W 0805</t>
  </si>
  <si>
    <t xml:space="preserve">Amplifier gain resistor</t>
  </si>
  <si>
    <t xml:space="preserve">R8</t>
  </si>
  <si>
    <t xml:space="preserve">Current limit</t>
  </si>
  <si>
    <t xml:space="preserve">R7</t>
  </si>
  <si>
    <t xml:space="preserve">1k Ohm ±1% 0.125W, 1/8W Chip Resistor 0805 (2012 Metric) Automotive AEC-Q200 Thick Film </t>
  </si>
  <si>
    <t xml:space="preserve">Gate drive disable pull-up</t>
  </si>
  <si>
    <t xml:space="preserve">R6</t>
  </si>
  <si>
    <t xml:space="preserve">Sets time constant / current limit on output voltage sense pin</t>
  </si>
  <si>
    <t xml:space="preserve">R3</t>
  </si>
  <si>
    <t xml:space="preserve">DC bus voltage sense voltage divider low</t>
  </si>
  <si>
    <t xml:space="preserve">R5</t>
  </si>
  <si>
    <t xml:space="preserve">Error amp input impedance</t>
  </si>
  <si>
    <t xml:space="preserve">R10</t>
  </si>
  <si>
    <t xml:space="preserve">13</t>
  </si>
  <si>
    <t xml:space="preserve">P10.0CCT-ND</t>
  </si>
  <si>
    <t xml:space="preserve">RES SMD 10 OHM 1% 1/8W 0805</t>
  </si>
  <si>
    <t xml:space="preserve">Gate drive</t>
  </si>
  <si>
    <t xml:space="preserve">R17, R18</t>
  </si>
  <si>
    <t xml:space="preserve">14</t>
  </si>
  <si>
    <t xml:space="preserve">P10.0FCT-ND</t>
  </si>
  <si>
    <t xml:space="preserve">RES SMD 10 OHM 1% 1/4W 1206</t>
  </si>
  <si>
    <t xml:space="preserve">Gate drive current limit</t>
  </si>
  <si>
    <t xml:space="preserve">10K</t>
  </si>
  <si>
    <t xml:space="preserve">15</t>
  </si>
  <si>
    <t xml:space="preserve">P10.0KCCT-ND</t>
  </si>
  <si>
    <t xml:space="preserve">311-10.0KCRCT-ND</t>
  </si>
  <si>
    <t xml:space="preserve">RES SMD 10K OHM 1% 1/8W 0805</t>
  </si>
  <si>
    <t xml:space="preserve">Gate pull-down</t>
  </si>
  <si>
    <t xml:space="preserve">PIC MCLR pull-up</t>
  </si>
  <si>
    <t xml:space="preserve">R22</t>
  </si>
  <si>
    <t xml:space="preserve">15K</t>
  </si>
  <si>
    <t xml:space="preserve">16</t>
  </si>
  <si>
    <t xml:space="preserve">P15.0KCCT-ND</t>
  </si>
  <si>
    <t xml:space="preserve">RES SMD 15K OHM 1% 1/8W 0805</t>
  </si>
  <si>
    <t xml:space="preserve">Core reset</t>
  </si>
  <si>
    <t xml:space="preserve">E2,5-7</t>
  </si>
  <si>
    <t xml:space="preserve">P16378CT-ND</t>
  </si>
  <si>
    <t xml:space="preserve">Aluminum Polymer Capacitor Radial, Can 24 mOhm 5000 Hrs @ 105°C</t>
  </si>
  <si>
    <t xml:space="preserve">Polarized output filter capacitor</t>
  </si>
  <si>
    <t xml:space="preserve">R16</t>
  </si>
  <si>
    <t xml:space="preserve">21</t>
  </si>
  <si>
    <t xml:space="preserve">P19300CT-ND</t>
  </si>
  <si>
    <t xml:space="preserve">470 mOhms ±1% 0.5W, 1/2W Chip Resistor 0805 (2012 Metric) Automotive AEC-Q200, Current Sense Thick Film</t>
  </si>
  <si>
    <t xml:space="preserve">Bootstrap capacitor charge current limit</t>
  </si>
  <si>
    <t xml:space="preserve">22K</t>
  </si>
  <si>
    <t xml:space="preserve">17</t>
  </si>
  <si>
    <t xml:space="preserve">P22.0KCCT-ND</t>
  </si>
  <si>
    <t xml:space="preserve">RES SMD 22K OHM 1% 1/8W 0805</t>
  </si>
  <si>
    <t xml:space="preserve">Error amp gain resistor</t>
  </si>
  <si>
    <t xml:space="preserve">R1</t>
  </si>
  <si>
    <t xml:space="preserve">4.02K</t>
  </si>
  <si>
    <t xml:space="preserve">31</t>
  </si>
  <si>
    <t xml:space="preserve">P4.02KCCT-ND</t>
  </si>
  <si>
    <t xml:space="preserve">4.02 kOhms ±1% 0.125W, 1/8W Chip Resistor 0805 (2012 Metric) Automotive AEC-Q200 Thick Film</t>
  </si>
  <si>
    <t xml:space="preserve">DC bus voltage sense voltage divider high</t>
  </si>
  <si>
    <t xml:space="preserve">18</t>
  </si>
  <si>
    <t xml:space="preserve">P499CCT-ND</t>
  </si>
  <si>
    <t xml:space="preserve">RES SMD 499 OHM 1% 1/8W 0805</t>
  </si>
  <si>
    <t xml:space="preserve">Voltage sense</t>
  </si>
  <si>
    <t xml:space="preserve">5.6K</t>
  </si>
  <si>
    <t xml:space="preserve">30</t>
  </si>
  <si>
    <t xml:space="preserve">P5.60KCCT-ND</t>
  </si>
  <si>
    <t xml:space="preserve">5.6 kOhms ±1% 0.125W, 1/8W Chip Resistor 0805 (2012 Metric) Automotive AEC-Q200 Thick Film</t>
  </si>
  <si>
    <t xml:space="preserve">Power switch snubber resistor</t>
  </si>
  <si>
    <t xml:space="preserve">8.06K</t>
  </si>
  <si>
    <t xml:space="preserve">29</t>
  </si>
  <si>
    <t xml:space="preserve">P8.06KCCT-ND</t>
  </si>
  <si>
    <t xml:space="preserve">8.06 kOhms ±1% 0.125W, 1/8W Chip Resistor 0805 (2012 Metric) Automotive AEC-Q200 Thick Film</t>
  </si>
  <si>
    <t xml:space="preserve">Amplifier feedback resistor</t>
  </si>
  <si>
    <t xml:space="preserve">PIC16F1769</t>
  </si>
  <si>
    <t xml:space="preserve">SOIC-20</t>
  </si>
  <si>
    <t xml:space="preserve">Microchip</t>
  </si>
  <si>
    <t xml:space="preserve">PIC16F1769-E/SO</t>
  </si>
  <si>
    <t xml:space="preserve">16MHz, 8-bit microcontroller</t>
  </si>
  <si>
    <t xml:space="preserve">SMPS controller</t>
  </si>
  <si>
    <t xml:space="preserve">R23</t>
  </si>
  <si>
    <t xml:space="preserve">28</t>
  </si>
  <si>
    <t xml:space="preserve">RMCF0805FT8R06CT-ND</t>
  </si>
  <si>
    <t xml:space="preserve">8.06 Ohms ±1% 0.125W, 1/8W Chip Resistor 0805 (2012 Metric) Automotive AEC-Q200 Thick Film</t>
  </si>
  <si>
    <t xml:space="preserve">Burden resistor</t>
  </si>
  <si>
    <t xml:space="preserve">C24</t>
  </si>
  <si>
    <t xml:space="preserve">Bulk supply for flyback primary</t>
  </si>
  <si>
    <t xml:space="preserve">Supply decoupling</t>
  </si>
</sst>
</file>

<file path=xl/styles.xml><?xml version="1.0" encoding="utf-8"?>
<styleSheet xmlns="http://schemas.openxmlformats.org/spreadsheetml/2006/main">
  <numFmts count="27">
    <numFmt numFmtId="164" formatCode="General"/>
    <numFmt numFmtId="165" formatCode="@"/>
    <numFmt numFmtId="166" formatCode="0.00"/>
    <numFmt numFmtId="167" formatCode="_-* #,##0.00_-;\-* #,##0.00_-;_-* \-??_-;_-@_-"/>
    <numFmt numFmtId="168" formatCode="_-* #,##0_-;\-* #,##0_-;_-* \-??_-;_-@_-"/>
    <numFmt numFmtId="169" formatCode="#,##0"/>
    <numFmt numFmtId="170" formatCode="0.00E+00"/>
    <numFmt numFmtId="171" formatCode="0.0000"/>
    <numFmt numFmtId="172" formatCode="0.00000E+00"/>
    <numFmt numFmtId="173" formatCode="0"/>
    <numFmt numFmtId="174" formatCode="0.00000"/>
    <numFmt numFmtId="175" formatCode="_(* #,##0_);_(* \(#,##0\);_(* \-??_);_(@_)"/>
    <numFmt numFmtId="176" formatCode="0.000"/>
    <numFmt numFmtId="177" formatCode="0.0000E+00"/>
    <numFmt numFmtId="178" formatCode="#,##0.00"/>
    <numFmt numFmtId="179" formatCode="0.000E+00;\\"/>
    <numFmt numFmtId="180" formatCode="0.000E+00"/>
    <numFmt numFmtId="181" formatCode="0%"/>
    <numFmt numFmtId="182" formatCode="0.00000%"/>
    <numFmt numFmtId="183" formatCode="_-* #,##0.0000_-;\-* #,##0.0000_-;_-* \-??_-;_-@_-"/>
    <numFmt numFmtId="184" formatCode="0.000000"/>
    <numFmt numFmtId="185" formatCode="#,##0.0000"/>
    <numFmt numFmtId="186" formatCode="0.00%"/>
    <numFmt numFmtId="187" formatCode="0.0"/>
    <numFmt numFmtId="188" formatCode="0.000000E+00"/>
    <numFmt numFmtId="189" formatCode="D\-MMM"/>
    <numFmt numFmtId="190" formatCode="_(* #,##0.00_);_(* \(#,##0.00\);_(* \-??_);_(@_)"/>
  </numFmts>
  <fonts count="19">
    <font>
      <sz val="12"/>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b val="true"/>
      <vertAlign val="subscript"/>
      <sz val="12"/>
      <color rgb="FF000000"/>
      <name val="Calibri"/>
      <family val="2"/>
      <charset val="1"/>
    </font>
    <font>
      <vertAlign val="subscript"/>
      <sz val="12"/>
      <color rgb="FF000000"/>
      <name val="Calibri"/>
      <family val="2"/>
      <charset val="1"/>
    </font>
    <font>
      <vertAlign val="subscript"/>
      <sz val="12"/>
      <color rgb="FF000000"/>
      <name val="Calibri (Body)"/>
      <family val="0"/>
      <charset val="1"/>
    </font>
    <font>
      <vertAlign val="superscript"/>
      <sz val="12"/>
      <color rgb="FF000000"/>
      <name val="Calibri"/>
      <family val="2"/>
      <charset val="1"/>
    </font>
    <font>
      <u val="single"/>
      <sz val="12"/>
      <color rgb="FF000000"/>
      <name val="Calibri"/>
      <family val="2"/>
      <charset val="1"/>
    </font>
    <font>
      <vertAlign val="superscript"/>
      <sz val="12"/>
      <color rgb="FF000000"/>
      <name val="Calibri (Body)"/>
      <family val="0"/>
      <charset val="1"/>
    </font>
    <font>
      <b val="true"/>
      <sz val="14"/>
      <color rgb="FF000000"/>
      <name val="Calibri"/>
      <family val="2"/>
      <charset val="1"/>
    </font>
    <font>
      <sz val="14"/>
      <color rgb="FF595959"/>
      <name val="Calibri"/>
      <family val="2"/>
    </font>
    <font>
      <sz val="9"/>
      <color rgb="FF595959"/>
      <name val="Calibri"/>
      <family val="2"/>
    </font>
    <font>
      <sz val="10"/>
      <color rgb="FF595959"/>
      <name val="Calibri"/>
      <family val="2"/>
    </font>
    <font>
      <b val="true"/>
      <sz val="11"/>
      <color rgb="FF000000"/>
      <name val="Calibri"/>
      <family val="0"/>
    </font>
    <font>
      <sz val="11"/>
      <color rgb="FF000000"/>
      <name val="Calibri"/>
      <family val="0"/>
    </font>
    <font>
      <sz val="12"/>
      <color rgb="FF000000"/>
      <name val="Courier New"/>
      <family val="1"/>
      <charset val="1"/>
    </font>
    <font>
      <vertAlign val="subscript"/>
      <sz val="12"/>
      <color rgb="FF000000"/>
      <name val="Courier New"/>
      <family val="1"/>
      <charset val="1"/>
    </font>
  </fonts>
  <fills count="8">
    <fill>
      <patternFill patternType="none"/>
    </fill>
    <fill>
      <patternFill patternType="gray125"/>
    </fill>
    <fill>
      <patternFill patternType="solid">
        <fgColor rgb="FFFFFF00"/>
        <bgColor rgb="FFFFFF00"/>
      </patternFill>
    </fill>
    <fill>
      <patternFill patternType="solid">
        <fgColor rgb="FFD9D9D9"/>
        <bgColor rgb="FFF2F2F2"/>
      </patternFill>
    </fill>
    <fill>
      <patternFill patternType="solid">
        <fgColor rgb="FFC4BD97"/>
        <bgColor rgb="FFBFBFBF"/>
      </patternFill>
    </fill>
    <fill>
      <patternFill patternType="solid">
        <fgColor rgb="FF92D050"/>
        <bgColor rgb="FFC4BD97"/>
      </patternFill>
    </fill>
    <fill>
      <patternFill patternType="solid">
        <fgColor rgb="FFFAC090"/>
        <bgColor rgb="FFC4BD97"/>
      </patternFill>
    </fill>
    <fill>
      <patternFill patternType="solid">
        <fgColor rgb="FFF2F2F2"/>
        <bgColor rgb="FFFFFFCC"/>
      </patternFill>
    </fill>
  </fills>
  <borders count="46">
    <border diagonalUp="false" diagonalDown="false">
      <left/>
      <right/>
      <top/>
      <botto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hair"/>
      <right style="hair"/>
      <top style="hair"/>
      <bottom/>
      <diagonal/>
    </border>
    <border diagonalUp="false" diagonalDown="false">
      <left style="thin"/>
      <right/>
      <top/>
      <bottom/>
      <diagonal/>
    </border>
    <border diagonalUp="false" diagonalDown="false">
      <left/>
      <right style="thin"/>
      <top/>
      <botto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bottom/>
      <diagonal/>
    </border>
    <border diagonalUp="false" diagonalDown="false">
      <left/>
      <right style="medium"/>
      <top/>
      <bottom/>
      <diagonal/>
    </border>
    <border diagonalUp="false" diagonalDown="false">
      <left style="hair"/>
      <right/>
      <top/>
      <bottom/>
      <diagonal/>
    </border>
    <border diagonalUp="false" diagonalDown="false">
      <left/>
      <right style="hair"/>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top/>
      <bottom style="thin"/>
      <diagonal/>
    </border>
    <border diagonalUp="false" diagonalDown="false">
      <left/>
      <right style="thin"/>
      <top/>
      <bottom style="thin"/>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medium"/>
      <top style="medium"/>
      <bottom style="medium"/>
      <diagonal/>
    </border>
    <border diagonalUp="false" diagonalDown="false">
      <left/>
      <right/>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81" fontId="0" fillId="0" borderId="0" applyFont="true" applyBorder="false" applyAlignment="true" applyProtection="false">
      <alignment horizontal="general" vertical="bottom" textRotation="0" wrapText="false" indent="0" shrinkToFit="false"/>
    </xf>
    <xf numFmtId="181" fontId="0" fillId="0" borderId="0" applyFont="true" applyBorder="false" applyAlignment="true" applyProtection="false">
      <alignment horizontal="general" vertical="bottom" textRotation="0" wrapText="false" indent="0" shrinkToFit="false"/>
    </xf>
  </cellStyleXfs>
  <cellXfs count="306">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5" fontId="4" fillId="2" borderId="2" xfId="0" applyFont="true" applyBorder="tru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center" vertical="bottom"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4" fontId="0" fillId="3" borderId="5" xfId="0" applyFont="true" applyBorder="true" applyAlignment="true" applyProtection="false">
      <alignment horizontal="right" vertical="center" textRotation="0" wrapText="false" indent="0" shrinkToFit="false"/>
      <protection locked="true" hidden="false"/>
    </xf>
    <xf numFmtId="168" fontId="0" fillId="0" borderId="6" xfId="15" applyFont="true" applyBorder="true" applyAlignment="true" applyProtection="true">
      <alignment horizontal="right" vertical="center"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4" fillId="3" borderId="7" xfId="0" applyFont="true" applyBorder="true" applyAlignment="true" applyProtection="false">
      <alignment horizontal="right" vertical="center" textRotation="0" wrapText="false" indent="0" shrinkToFit="false"/>
      <protection locked="true" hidden="false"/>
    </xf>
    <xf numFmtId="169" fontId="0" fillId="3" borderId="8" xfId="0" applyFont="false" applyBorder="true" applyAlignment="true" applyProtection="false">
      <alignment horizontal="general" vertical="center" textRotation="0" wrapText="false" indent="0" shrinkToFit="false"/>
      <protection locked="true" hidden="false"/>
    </xf>
    <xf numFmtId="169" fontId="0" fillId="3" borderId="9" xfId="0" applyFont="false" applyBorder="true" applyAlignment="true" applyProtection="false">
      <alignment horizontal="center" vertical="center" textRotation="0" wrapText="false" indent="0" shrinkToFit="false"/>
      <protection locked="true" hidden="false"/>
    </xf>
    <xf numFmtId="164" fontId="0" fillId="3" borderId="10" xfId="0" applyFont="true" applyBorder="true" applyAlignment="true" applyProtection="false">
      <alignment horizontal="right" vertical="center" textRotation="0" wrapText="false" indent="0" shrinkToFit="false"/>
      <protection locked="true" hidden="false"/>
    </xf>
    <xf numFmtId="170" fontId="0" fillId="0" borderId="11" xfId="0" applyFont="false" applyBorder="true" applyAlignment="true" applyProtection="false">
      <alignment horizontal="general" vertical="center" textRotation="0" wrapText="false" indent="0" shrinkToFit="false"/>
      <protection locked="true" hidden="false"/>
    </xf>
    <xf numFmtId="171" fontId="0" fillId="0" borderId="11" xfId="0" applyFont="true" applyBorder="true" applyAlignment="true" applyProtection="false">
      <alignment horizontal="right" vertical="center" textRotation="0" wrapText="false" indent="0" shrinkToFit="false"/>
      <protection locked="true" hidden="false"/>
    </xf>
    <xf numFmtId="164" fontId="4" fillId="2" borderId="12"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13" xfId="0" applyFont="true" applyBorder="true" applyAlignment="true" applyProtection="false">
      <alignment horizontal="center" vertical="center" textRotation="0" wrapText="false" indent="0" shrinkToFit="false"/>
      <protection locked="true" hidden="false"/>
    </xf>
    <xf numFmtId="172" fontId="0" fillId="3" borderId="6" xfId="0" applyFont="false" applyBorder="true" applyAlignment="true" applyProtection="false">
      <alignment horizontal="right" vertical="center"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5" fontId="4" fillId="3" borderId="7" xfId="0" applyFont="true" applyBorder="true" applyAlignment="true" applyProtection="false">
      <alignment horizontal="right" vertical="center" textRotation="0" wrapText="true" indent="0" shrinkToFit="false"/>
      <protection locked="true" hidden="false"/>
    </xf>
    <xf numFmtId="164" fontId="0" fillId="3" borderId="8" xfId="0" applyFont="false" applyBorder="true" applyAlignment="true" applyProtection="false">
      <alignment horizontal="center" vertical="center" textRotation="0" wrapText="false" indent="0" shrinkToFit="false"/>
      <protection locked="true" hidden="false"/>
    </xf>
    <xf numFmtId="164" fontId="0" fillId="3" borderId="9" xfId="0" applyFont="false" applyBorder="true" applyAlignment="true" applyProtection="false">
      <alignment horizontal="center" vertical="center" textRotation="0" wrapText="false" indent="0" shrinkToFit="false"/>
      <protection locked="true" hidden="false"/>
    </xf>
    <xf numFmtId="173" fontId="0" fillId="3" borderId="11" xfId="0" applyFont="false" applyBorder="true" applyAlignment="true" applyProtection="false">
      <alignment horizontal="general" vertical="center" textRotation="0" wrapText="false" indent="0" shrinkToFit="false"/>
      <protection locked="true" hidden="false"/>
    </xf>
    <xf numFmtId="174" fontId="0" fillId="3" borderId="11" xfId="0" applyFont="false" applyBorder="true" applyAlignment="true" applyProtection="false">
      <alignment horizontal="right" vertical="center" textRotation="0" wrapText="fals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8" fontId="0" fillId="3" borderId="6" xfId="15" applyFont="true" applyBorder="true" applyAlignment="true" applyProtection="true">
      <alignment horizontal="right" vertical="center" textRotation="0" wrapText="false" indent="0" shrinkToFit="false"/>
      <protection locked="true" hidden="false"/>
    </xf>
    <xf numFmtId="175" fontId="0" fillId="3" borderId="8" xfId="0" applyFont="true" applyBorder="true" applyAlignment="true" applyProtection="true">
      <alignment horizontal="general" vertical="center" textRotation="0" wrapText="false" indent="0" shrinkToFit="false"/>
      <protection locked="true" hidden="false"/>
    </xf>
    <xf numFmtId="175" fontId="0" fillId="3" borderId="9" xfId="0" applyFont="true" applyBorder="true" applyAlignment="true" applyProtection="true">
      <alignment horizontal="general" vertical="center" textRotation="0" wrapText="false" indent="0" shrinkToFit="false"/>
      <protection locked="true" hidden="false"/>
    </xf>
    <xf numFmtId="164" fontId="4" fillId="3" borderId="10" xfId="0" applyFont="true" applyBorder="true" applyAlignment="true" applyProtection="false">
      <alignment horizontal="right" vertical="center" textRotation="0" wrapText="false" indent="0" shrinkToFit="false"/>
      <protection locked="true" hidden="false"/>
    </xf>
    <xf numFmtId="170" fontId="4" fillId="3" borderId="11" xfId="0" applyFont="true" applyBorder="true" applyAlignment="true" applyProtection="false">
      <alignment horizontal="general" vertical="center" textRotation="0" wrapText="false" indent="0" shrinkToFit="false"/>
      <protection locked="true" hidden="false"/>
    </xf>
    <xf numFmtId="176" fontId="0" fillId="0" borderId="11" xfId="0" applyFont="false" applyBorder="true" applyAlignment="true" applyProtection="false">
      <alignment horizontal="right" vertical="center" textRotation="0" wrapText="false" indent="0" shrinkToFit="false"/>
      <protection locked="true" hidden="false"/>
    </xf>
    <xf numFmtId="177" fontId="0" fillId="3" borderId="8" xfId="0" applyFont="false" applyBorder="true" applyAlignment="true" applyProtection="false">
      <alignment horizontal="general" vertical="center" textRotation="0" wrapText="false" indent="0" shrinkToFit="false"/>
      <protection locked="true" hidden="false"/>
    </xf>
    <xf numFmtId="177" fontId="0" fillId="3" borderId="9" xfId="0" applyFont="false" applyBorder="true" applyAlignment="true" applyProtection="false">
      <alignment horizontal="general" vertical="center" textRotation="0" wrapText="false" indent="0" shrinkToFit="false"/>
      <protection locked="true" hidden="false"/>
    </xf>
    <xf numFmtId="164" fontId="0" fillId="3" borderId="11" xfId="0" applyFont="false" applyBorder="true" applyAlignment="true" applyProtection="false">
      <alignment horizontal="general" vertical="center" textRotation="0" wrapText="false" indent="0" shrinkToFit="false"/>
      <protection locked="true" hidden="false"/>
    </xf>
    <xf numFmtId="164" fontId="0" fillId="3" borderId="14" xfId="0" applyFont="true" applyBorder="true" applyAlignment="true" applyProtection="false">
      <alignment horizontal="right" vertical="center" textRotation="0" wrapText="false" indent="0" shrinkToFit="false"/>
      <protection locked="true" hidden="false"/>
    </xf>
    <xf numFmtId="164" fontId="0" fillId="3" borderId="15" xfId="0" applyFont="false" applyBorder="true" applyAlignment="true" applyProtection="false">
      <alignment horizontal="right" vertical="center" textRotation="0" wrapText="false" indent="0" shrinkToFit="false"/>
      <protection locked="true" hidden="false"/>
    </xf>
    <xf numFmtId="171" fontId="0" fillId="3" borderId="6" xfId="0" applyFont="false" applyBorder="true" applyAlignment="true" applyProtection="false">
      <alignment horizontal="right" vertical="center" textRotation="0" wrapText="false" indent="0" shrinkToFit="false"/>
      <protection locked="true" hidden="false"/>
    </xf>
    <xf numFmtId="170" fontId="0" fillId="3" borderId="11" xfId="0" applyFont="fals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5" fontId="0" fillId="0" borderId="6" xfId="0" applyFont="true" applyBorder="true" applyAlignment="true" applyProtection="false">
      <alignment horizontal="right" vertical="center"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5" fontId="4" fillId="3" borderId="16" xfId="0" applyFont="true" applyBorder="true" applyAlignment="true" applyProtection="false">
      <alignment horizontal="right" vertical="center" textRotation="0" wrapText="true" indent="0" shrinkToFit="false"/>
      <protection locked="true" hidden="false"/>
    </xf>
    <xf numFmtId="178" fontId="0" fillId="3" borderId="17" xfId="0" applyFont="false" applyBorder="true" applyAlignment="true" applyProtection="false">
      <alignment horizontal="general" vertical="center" textRotation="0" wrapText="false" indent="0" shrinkToFit="false"/>
      <protection locked="true" hidden="false"/>
    </xf>
    <xf numFmtId="178" fontId="0" fillId="3" borderId="18" xfId="0" applyFont="false" applyBorder="true" applyAlignment="true" applyProtection="false">
      <alignment horizontal="general" vertical="center" textRotation="0" wrapText="false" indent="0" shrinkToFit="false"/>
      <protection locked="true" hidden="false"/>
    </xf>
    <xf numFmtId="173" fontId="0" fillId="0" borderId="11" xfId="0" applyFont="false" applyBorder="true" applyAlignment="true" applyProtection="false">
      <alignment horizontal="general" vertical="center" textRotation="0" wrapText="false" indent="0" shrinkToFit="false"/>
      <protection locked="true" hidden="false"/>
    </xf>
    <xf numFmtId="166" fontId="0" fillId="0" borderId="11" xfId="0" applyFont="false" applyBorder="true" applyAlignment="true" applyProtection="false">
      <alignment horizontal="general" vertical="center" textRotation="0" wrapText="false" indent="0" shrinkToFit="false"/>
      <protection locked="true" hidden="false"/>
    </xf>
    <xf numFmtId="179" fontId="0" fillId="3" borderId="11" xfId="0" applyFont="false" applyBorder="true" applyAlignment="tru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73" fontId="0" fillId="0" borderId="6" xfId="0" applyFont="false" applyBorder="true" applyAlignment="true" applyProtection="false">
      <alignment horizontal="right" vertical="center" textRotation="0" wrapText="false" indent="0" shrinkToFit="false"/>
      <protection locked="true" hidden="false"/>
    </xf>
    <xf numFmtId="171" fontId="0" fillId="0" borderId="9" xfId="0" applyFont="false" applyBorder="true" applyAlignment="false" applyProtection="false">
      <alignment horizontal="general" vertical="bottom" textRotation="0" wrapText="false" indent="0" shrinkToFit="false"/>
      <protection locked="true" hidden="false"/>
    </xf>
    <xf numFmtId="180" fontId="4" fillId="3" borderId="11" xfId="0" applyFont="true" applyBorder="true" applyAlignment="true" applyProtection="false">
      <alignment horizontal="general" vertical="center" textRotation="0" wrapText="false" indent="0" shrinkToFit="false"/>
      <protection locked="true" hidden="false"/>
    </xf>
    <xf numFmtId="173" fontId="0" fillId="0" borderId="9" xfId="0" applyFont="false" applyBorder="true" applyAlignment="false" applyProtection="false">
      <alignment horizontal="general" vertical="bottom" textRotation="0" wrapText="false" indent="0" shrinkToFit="false"/>
      <protection locked="true" hidden="false"/>
    </xf>
    <xf numFmtId="172" fontId="4" fillId="3" borderId="6" xfId="0" applyFont="true" applyBorder="true" applyAlignment="true" applyProtection="false">
      <alignment horizontal="right" vertical="center" textRotation="0" wrapText="fals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64" fontId="0" fillId="3" borderId="18" xfId="0" applyFont="false" applyBorder="true" applyAlignment="true" applyProtection="false">
      <alignment horizontal="right" vertical="center" textRotation="0" wrapText="false" indent="0" shrinkToFit="false"/>
      <protection locked="true" hidden="false"/>
    </xf>
    <xf numFmtId="169" fontId="4" fillId="3" borderId="6" xfId="15" applyFont="true" applyBorder="true" applyAlignment="true" applyProtection="true">
      <alignment horizontal="right" vertical="center" textRotation="0" wrapText="false" indent="0" shrinkToFit="false"/>
      <protection locked="true" hidden="false"/>
    </xf>
    <xf numFmtId="164" fontId="4" fillId="3" borderId="14" xfId="0" applyFont="true" applyBorder="true" applyAlignment="true" applyProtection="false">
      <alignment horizontal="right" vertical="center" textRotation="0" wrapText="false" indent="0" shrinkToFit="false"/>
      <protection locked="true" hidden="false"/>
    </xf>
    <xf numFmtId="170" fontId="4" fillId="3" borderId="15" xfId="0" applyFont="true" applyBorder="true" applyAlignment="true" applyProtection="false">
      <alignment horizontal="general" vertical="center" textRotation="0" wrapText="false" indent="0" shrinkToFit="false"/>
      <protection locked="true" hidden="false"/>
    </xf>
    <xf numFmtId="164" fontId="4" fillId="3" borderId="16" xfId="0" applyFont="true" applyBorder="true" applyAlignment="true" applyProtection="false">
      <alignment horizontal="right" vertical="center" textRotation="0" wrapText="false" indent="0" shrinkToFit="false"/>
      <protection locked="true" hidden="false"/>
    </xf>
    <xf numFmtId="171" fontId="0" fillId="3" borderId="18" xfId="0" applyFont="false" applyBorder="true" applyAlignment="false" applyProtection="false">
      <alignment horizontal="general" vertical="bottom" textRotation="0" wrapText="false" indent="0" shrinkToFit="false"/>
      <protection locked="true" hidden="false"/>
    </xf>
    <xf numFmtId="182" fontId="4" fillId="3" borderId="6" xfId="19" applyFont="true" applyBorder="true" applyAlignment="true" applyProtection="true">
      <alignment horizontal="right" vertical="center" textRotation="0" wrapText="false" indent="0" shrinkToFit="false"/>
      <protection locked="true" hidden="false"/>
    </xf>
    <xf numFmtId="182" fontId="0" fillId="0" borderId="6" xfId="0" applyFont="false" applyBorder="true" applyAlignment="true" applyProtection="false">
      <alignment horizontal="right" vertical="center" textRotation="0" wrapText="false" indent="0" shrinkToFit="false"/>
      <protection locked="true" hidden="false"/>
    </xf>
    <xf numFmtId="166" fontId="0" fillId="3" borderId="17" xfId="0" applyFont="false" applyBorder="true" applyAlignment="true" applyProtection="false">
      <alignment horizontal="general" vertical="center" textRotation="0" wrapText="false" indent="0" shrinkToFit="false"/>
      <protection locked="true" hidden="false"/>
    </xf>
    <xf numFmtId="166" fontId="0" fillId="3" borderId="18" xfId="0" applyFont="false" applyBorder="true" applyAlignment="true" applyProtection="false">
      <alignment horizontal="general" vertical="center" textRotation="0" wrapText="false" indent="0" shrinkToFit="false"/>
      <protection locked="true" hidden="false"/>
    </xf>
    <xf numFmtId="166" fontId="0" fillId="3" borderId="6" xfId="0" applyFont="false" applyBorder="tru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83" fontId="0" fillId="0" borderId="6" xfId="15" applyFont="true" applyBorder="true" applyAlignment="true" applyProtection="true">
      <alignment horizontal="right" vertical="center" textRotation="0" wrapText="false" indent="0" shrinkToFit="false"/>
      <protection locked="true" hidden="false"/>
    </xf>
    <xf numFmtId="166" fontId="0" fillId="0" borderId="11" xfId="0" applyFont="false" applyBorder="true" applyAlignment="false" applyProtection="false">
      <alignment horizontal="general" vertical="bottom" textRotation="0" wrapText="false" indent="0" shrinkToFit="false"/>
      <protection locked="true" hidden="false"/>
    </xf>
    <xf numFmtId="166" fontId="0" fillId="3" borderId="11" xfId="0" applyFont="false" applyBorder="true" applyAlignment="false" applyProtection="false">
      <alignment horizontal="general" vertical="bottom" textRotation="0" wrapText="false" indent="0" shrinkToFit="false"/>
      <protection locked="true" hidden="false"/>
    </xf>
    <xf numFmtId="164" fontId="0" fillId="3" borderId="19" xfId="0" applyFont="true" applyBorder="true" applyAlignment="true" applyProtection="false">
      <alignment horizontal="right" vertical="center" textRotation="0" wrapText="false" indent="0" shrinkToFit="false"/>
      <protection locked="true" hidden="false"/>
    </xf>
    <xf numFmtId="184" fontId="0" fillId="3" borderId="20" xfId="0" applyFont="false" applyBorder="true" applyAlignment="true" applyProtection="false">
      <alignment horizontal="right" vertical="center" textRotation="0" wrapText="false" indent="0" shrinkToFit="false"/>
      <protection locked="true" hidden="false"/>
    </xf>
    <xf numFmtId="166" fontId="4" fillId="3" borderId="15" xfId="0" applyFont="true" applyBorder="true" applyAlignment="false" applyProtection="false">
      <alignment horizontal="general" vertical="bottom" textRotation="0" wrapText="false" indent="0" shrinkToFit="false"/>
      <protection locked="true" hidden="false"/>
    </xf>
    <xf numFmtId="164" fontId="0" fillId="0" borderId="21" xfId="0" applyFont="false" applyBorder="true" applyAlignment="true" applyProtection="false">
      <alignment horizontal="center"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0" fillId="3" borderId="24" xfId="0" applyFont="true" applyBorder="true" applyAlignment="true" applyProtection="false">
      <alignment horizontal="right" vertical="center" textRotation="0" wrapText="false" indent="0" shrinkToFit="false"/>
      <protection locked="true" hidden="false"/>
    </xf>
    <xf numFmtId="178" fontId="0" fillId="0" borderId="25" xfId="0" applyFont="true" applyBorder="true" applyAlignment="true" applyProtection="true">
      <alignment horizontal="left" vertical="center" textRotation="0" wrapText="false" indent="0" shrinkToFit="false"/>
      <protection locked="true" hidden="false"/>
    </xf>
    <xf numFmtId="177" fontId="0" fillId="0" borderId="8" xfId="0" applyFont="false" applyBorder="true" applyAlignment="true" applyProtection="false">
      <alignment horizontal="general" vertical="center" textRotation="0" wrapText="false" indent="0" shrinkToFit="false"/>
      <protection locked="true" hidden="false"/>
    </xf>
    <xf numFmtId="177" fontId="0" fillId="0" borderId="9" xfId="0" applyFont="false" applyBorder="true" applyAlignment="true" applyProtection="false">
      <alignment horizontal="general" vertical="center" textRotation="0" wrapText="false" indent="0" shrinkToFit="false"/>
      <protection locked="true" hidden="false"/>
    </xf>
    <xf numFmtId="172" fontId="0" fillId="3" borderId="25" xfId="0" applyFont="false" applyBorder="true" applyAlignment="true" applyProtection="false">
      <alignment horizontal="left" vertical="center" textRotation="0" wrapText="false" indent="0" shrinkToFit="false"/>
      <protection locked="true" hidden="false"/>
    </xf>
    <xf numFmtId="168" fontId="0" fillId="3" borderId="25" xfId="0" applyFont="true" applyBorder="true" applyAlignment="true" applyProtection="true">
      <alignment horizontal="left" vertical="center" textRotation="0" wrapText="false" indent="0" shrinkToFit="false"/>
      <protection locked="true" hidden="false"/>
    </xf>
    <xf numFmtId="171" fontId="0" fillId="3" borderId="25" xfId="0" applyFont="false" applyBorder="true" applyAlignment="true" applyProtection="false">
      <alignment horizontal="left" vertical="center" textRotation="0" wrapText="false" indent="0" shrinkToFit="false"/>
      <protection locked="true" hidden="false"/>
    </xf>
    <xf numFmtId="185" fontId="0" fillId="3" borderId="17" xfId="0" applyFont="false" applyBorder="true" applyAlignment="false" applyProtection="false">
      <alignment horizontal="general" vertical="bottom" textRotation="0" wrapText="false" indent="0" shrinkToFit="false"/>
      <protection locked="true" hidden="false"/>
    </xf>
    <xf numFmtId="185" fontId="0" fillId="3" borderId="18" xfId="0" applyFont="fals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true" applyProtection="false">
      <alignment horizontal="left" vertical="center" textRotation="0" wrapText="false" indent="0" shrinkToFit="false"/>
      <protection locked="true" hidden="false"/>
    </xf>
    <xf numFmtId="173" fontId="0" fillId="0" borderId="25" xfId="0" applyFont="fals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2" fontId="4" fillId="3" borderId="25" xfId="0" applyFont="true" applyBorder="true" applyAlignment="true" applyProtection="false">
      <alignment horizontal="left" vertical="center" textRotation="0" wrapText="false" indent="0" shrinkToFit="false"/>
      <protection locked="true" hidden="false"/>
    </xf>
    <xf numFmtId="178" fontId="4" fillId="3" borderId="25" xfId="0" applyFont="true" applyBorder="true" applyAlignment="true" applyProtection="true">
      <alignment horizontal="left" vertical="center" textRotation="0" wrapText="false" indent="0" shrinkToFit="false"/>
      <protection locked="true" hidden="false"/>
    </xf>
    <xf numFmtId="166" fontId="0" fillId="3" borderId="25" xfId="0" applyFont="false" applyBorder="true" applyAlignment="true" applyProtection="false">
      <alignment horizontal="left" vertical="center" textRotation="0" wrapText="false" indent="0" shrinkToFit="false"/>
      <protection locked="true" hidden="false"/>
    </xf>
    <xf numFmtId="173" fontId="0" fillId="3" borderId="25" xfId="0" applyFont="false" applyBorder="true" applyAlignment="true" applyProtection="false">
      <alignment horizontal="left" vertical="center" textRotation="0" wrapText="false" indent="0" shrinkToFit="false"/>
      <protection locked="true" hidden="false"/>
    </xf>
    <xf numFmtId="170" fontId="4" fillId="3" borderId="25" xfId="0" applyFont="true" applyBorder="true" applyAlignment="true" applyProtection="false">
      <alignment horizontal="left" vertical="center" textRotation="0" wrapText="false" indent="0" shrinkToFit="false"/>
      <protection locked="true" hidden="false"/>
    </xf>
    <xf numFmtId="164" fontId="0" fillId="3" borderId="26" xfId="0" applyFont="true" applyBorder="true" applyAlignment="true" applyProtection="false">
      <alignment horizontal="right" vertical="center" textRotation="0" wrapText="false" indent="0" shrinkToFit="false"/>
      <protection locked="true" hidden="false"/>
    </xf>
    <xf numFmtId="186" fontId="4" fillId="3" borderId="27" xfId="0" applyFont="true" applyBorder="true" applyAlignment="true" applyProtection="false">
      <alignment horizontal="left" vertical="center" textRotation="0" wrapText="false" indent="0" shrinkToFit="false"/>
      <protection locked="true" hidden="false"/>
    </xf>
    <xf numFmtId="164" fontId="0" fillId="2" borderId="28" xfId="0" applyFont="false" applyBorder="true" applyAlignment="false" applyProtection="false">
      <alignment horizontal="general" vertical="bottom" textRotation="0" wrapText="false" indent="0" shrinkToFit="false"/>
      <protection locked="true" hidden="false"/>
    </xf>
    <xf numFmtId="164" fontId="4" fillId="2" borderId="29" xfId="0" applyFont="true" applyBorder="true" applyAlignment="true" applyProtection="false">
      <alignment horizontal="center" vertical="bottom" textRotation="0" wrapText="false" indent="0" shrinkToFit="false"/>
      <protection locked="true" hidden="false"/>
    </xf>
    <xf numFmtId="164" fontId="4" fillId="2" borderId="3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5" fontId="4" fillId="4" borderId="31" xfId="0" applyFont="true" applyBorder="true" applyAlignment="true" applyProtection="false">
      <alignment horizontal="center" vertical="center" textRotation="90" wrapText="true" indent="0" shrinkToFit="false"/>
      <protection locked="true" hidden="false"/>
    </xf>
    <xf numFmtId="165" fontId="0" fillId="4" borderId="32" xfId="0" applyFont="true" applyBorder="true" applyAlignment="true" applyProtection="false">
      <alignment horizontal="right" vertical="center" textRotation="0" wrapText="false" indent="0" shrinkToFit="false"/>
      <protection locked="true" hidden="false"/>
    </xf>
    <xf numFmtId="173" fontId="0" fillId="0" borderId="29" xfId="0" applyFont="false" applyBorder="true" applyAlignment="true" applyProtection="false">
      <alignment horizontal="center" vertical="bottom" textRotation="0" wrapText="false" indent="0" shrinkToFit="false"/>
      <protection locked="true" hidden="false"/>
    </xf>
    <xf numFmtId="170" fontId="0" fillId="4" borderId="33" xfId="0" applyFont="false" applyBorder="true" applyAlignment="true" applyProtection="false">
      <alignment horizontal="center" vertical="center" textRotation="0" wrapText="false" indent="0" shrinkToFit="false"/>
      <protection locked="true" hidden="false"/>
    </xf>
    <xf numFmtId="164" fontId="0" fillId="4" borderId="34" xfId="0" applyFont="false" applyBorder="true" applyAlignment="true" applyProtection="false">
      <alignment horizontal="left" vertical="top" textRotation="0" wrapText="true" indent="0" shrinkToFit="false"/>
      <protection locked="true" hidden="false"/>
    </xf>
    <xf numFmtId="164" fontId="0" fillId="0" borderId="28" xfId="0" applyFont="true" applyBorder="true" applyAlignment="false" applyProtection="false">
      <alignment horizontal="general" vertical="bottom" textRotation="0" wrapText="false" indent="0" shrinkToFit="false"/>
      <protection locked="true" hidden="false"/>
    </xf>
    <xf numFmtId="173" fontId="0" fillId="0" borderId="30" xfId="0" applyFont="false" applyBorder="true" applyAlignment="true" applyProtection="false">
      <alignment horizontal="right"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false" indent="0" shrinkToFit="false"/>
      <protection locked="true" hidden="false"/>
    </xf>
    <xf numFmtId="166" fontId="4" fillId="2" borderId="0" xfId="0" applyFont="true" applyBorder="true" applyAlignment="true" applyProtection="false">
      <alignment horizontal="center" vertical="center" textRotation="0" wrapText="false" indent="0" shrinkToFit="false"/>
      <protection locked="true" hidden="false"/>
    </xf>
    <xf numFmtId="164" fontId="4" fillId="2" borderId="11" xfId="0" applyFont="true" applyBorder="true" applyAlignment="true" applyProtection="false">
      <alignment horizontal="center" vertical="center" textRotation="0" wrapText="false" indent="0" shrinkToFit="false"/>
      <protection locked="true" hidden="false"/>
    </xf>
    <xf numFmtId="165" fontId="0" fillId="4" borderId="5" xfId="0" applyFont="true" applyBorder="true" applyAlignment="true" applyProtection="false">
      <alignment horizontal="right" vertical="center" textRotation="0" wrapText="false" indent="0" shrinkToFit="false"/>
      <protection locked="true" hidden="false"/>
    </xf>
    <xf numFmtId="187" fontId="0" fillId="0" borderId="0" xfId="0" applyFont="false" applyBorder="false" applyAlignment="true" applyProtection="false">
      <alignment horizontal="center" vertical="bottom" textRotation="0" wrapText="false" indent="0" shrinkToFit="false"/>
      <protection locked="true" hidden="false"/>
    </xf>
    <xf numFmtId="166" fontId="0" fillId="4" borderId="6" xfId="0" applyFont="fals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73" fontId="0" fillId="0" borderId="11" xfId="0" applyFont="false" applyBorder="true" applyAlignment="true" applyProtection="false">
      <alignment horizontal="right" vertical="center" textRotation="0" wrapText="false" indent="0" shrinkToFit="false"/>
      <protection locked="true" hidden="false"/>
    </xf>
    <xf numFmtId="166"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84" fontId="0" fillId="0" borderId="0" xfId="0" applyFont="false" applyBorder="false" applyAlignment="true" applyProtection="false">
      <alignment horizontal="center" vertical="bottom" textRotation="0" wrapText="false" indent="0" shrinkToFit="false"/>
      <protection locked="true" hidden="false"/>
    </xf>
    <xf numFmtId="176" fontId="0" fillId="3" borderId="11" xfId="0" applyFont="false" applyBorder="true" applyAlignment="true" applyProtection="false">
      <alignment horizontal="right" vertical="center" textRotation="0" wrapText="false" indent="0" shrinkToFit="false"/>
      <protection locked="true" hidden="false"/>
    </xf>
    <xf numFmtId="166" fontId="0" fillId="3" borderId="0" xfId="0" applyFont="false" applyBorder="true" applyAlignment="false" applyProtection="false">
      <alignment horizontal="general" vertical="bottom" textRotation="0" wrapText="false" indent="0" shrinkToFit="false"/>
      <protection locked="true" hidden="false"/>
    </xf>
    <xf numFmtId="170" fontId="4" fillId="4" borderId="0" xfId="0" applyFont="true" applyBorder="false" applyAlignment="true" applyProtection="false">
      <alignment horizontal="center" vertical="bottom" textRotation="0" wrapText="false" indent="0" shrinkToFit="false"/>
      <protection locked="true" hidden="false"/>
    </xf>
    <xf numFmtId="170" fontId="0" fillId="4" borderId="6" xfId="0" applyFont="false" applyBorder="true" applyAlignment="true" applyProtection="false">
      <alignment horizontal="center" vertical="center" textRotation="0" wrapText="false" indent="0" shrinkToFit="false"/>
      <protection locked="true" hidden="false"/>
    </xf>
    <xf numFmtId="173" fontId="4" fillId="4" borderId="0" xfId="0" applyFont="true" applyBorder="false" applyAlignment="true" applyProtection="false">
      <alignment horizontal="center" vertical="bottom" textRotation="0" wrapText="false" indent="0" shrinkToFit="false"/>
      <protection locked="true" hidden="false"/>
    </xf>
    <xf numFmtId="165" fontId="0" fillId="4" borderId="19" xfId="0" applyFont="true" applyBorder="true" applyAlignment="true" applyProtection="false">
      <alignment horizontal="right" vertical="center" textRotation="0" wrapText="false" indent="0" shrinkToFit="false"/>
      <protection locked="true" hidden="false"/>
    </xf>
    <xf numFmtId="164" fontId="4" fillId="4" borderId="35" xfId="0" applyFont="true" applyBorder="true" applyAlignment="true" applyProtection="false">
      <alignment horizontal="center" vertical="bottom" textRotation="0" wrapText="false" indent="0" shrinkToFit="false"/>
      <protection locked="true" hidden="false"/>
    </xf>
    <xf numFmtId="174" fontId="0" fillId="4" borderId="20" xfId="0" applyFont="false" applyBorder="true" applyAlignment="true" applyProtection="false">
      <alignment horizontal="center" vertical="center" textRotation="0" wrapText="false" indent="0" shrinkToFit="false"/>
      <protection locked="true" hidden="false"/>
    </xf>
    <xf numFmtId="176" fontId="9" fillId="3" borderId="11" xfId="0" applyFont="true" applyBorder="true" applyAlignment="true" applyProtection="false">
      <alignment horizontal="right" vertical="center" textRotation="0" wrapText="false" indent="0" shrinkToFit="false"/>
      <protection locked="true" hidden="false"/>
    </xf>
    <xf numFmtId="164" fontId="0" fillId="5" borderId="10" xfId="0" applyFont="true" applyBorder="true" applyAlignment="false" applyProtection="false">
      <alignment horizontal="general" vertical="bottom" textRotation="0" wrapText="false" indent="0" shrinkToFit="false"/>
      <protection locked="true" hidden="false"/>
    </xf>
    <xf numFmtId="176" fontId="0" fillId="5" borderId="0" xfId="0" applyFont="false" applyBorder="true" applyAlignment="false" applyProtection="false">
      <alignment horizontal="general" vertical="bottom" textRotation="0" wrapText="false" indent="0" shrinkToFit="false"/>
      <protection locked="true" hidden="false"/>
    </xf>
    <xf numFmtId="165" fontId="0" fillId="4" borderId="36" xfId="0" applyFont="true" applyBorder="true" applyAlignment="true" applyProtection="false">
      <alignment horizontal="right" vertical="center" textRotation="0" wrapText="false" indent="0" shrinkToFit="false"/>
      <protection locked="true" hidden="false"/>
    </xf>
    <xf numFmtId="165" fontId="0" fillId="0" borderId="37" xfId="0" applyFont="true" applyBorder="true" applyAlignment="true" applyProtection="false">
      <alignment horizontal="left" vertical="center" textRotation="0" wrapText="false" indent="0" shrinkToFit="false"/>
      <protection locked="true" hidden="false"/>
    </xf>
    <xf numFmtId="170" fontId="0" fillId="4" borderId="38" xfId="0" applyFont="false" applyBorder="true" applyAlignment="true" applyProtection="false">
      <alignment horizontal="center" vertical="center" textRotation="0" wrapText="false" indent="0" shrinkToFit="false"/>
      <protection locked="true" hidden="false"/>
    </xf>
    <xf numFmtId="176" fontId="0" fillId="5" borderId="11" xfId="0" applyFont="false" applyBorder="true" applyAlignment="true" applyProtection="false">
      <alignment horizontal="right" vertical="center" textRotation="0" wrapText="false" indent="0" shrinkToFit="false"/>
      <protection locked="true" hidden="false"/>
    </xf>
    <xf numFmtId="180" fontId="0" fillId="0" borderId="0" xfId="0" applyFont="false" applyBorder="true" applyAlignment="false" applyProtection="false">
      <alignment horizontal="general" vertical="bottom" textRotation="0" wrapText="false" indent="0" shrinkToFit="false"/>
      <protection locked="true" hidden="false"/>
    </xf>
    <xf numFmtId="167" fontId="0" fillId="0" borderId="0" xfId="15" applyFont="true" applyBorder="true" applyAlignment="true" applyProtection="true">
      <alignment horizontal="general" vertical="bottom" textRotation="0" wrapText="false" indent="0" shrinkToFit="false"/>
      <protection locked="true" hidden="false"/>
    </xf>
    <xf numFmtId="174" fontId="0" fillId="0" borderId="0" xfId="0" applyFont="false" applyBorder="false" applyAlignment="true" applyProtection="false">
      <alignment horizontal="left" vertical="center" textRotation="0" wrapText="false" indent="0" shrinkToFit="false"/>
      <protection locked="true" hidden="false"/>
    </xf>
    <xf numFmtId="174" fontId="0" fillId="4" borderId="6" xfId="0" applyFont="false" applyBorder="true" applyAlignment="true" applyProtection="false">
      <alignment horizontal="center" vertical="center" textRotation="0" wrapText="false" indent="0" shrinkToFit="false"/>
      <protection locked="true" hidden="false"/>
    </xf>
    <xf numFmtId="184" fontId="0" fillId="4" borderId="6" xfId="0" applyFont="false" applyBorder="true" applyAlignment="true" applyProtection="false">
      <alignment horizontal="center" vertical="center" textRotation="0" wrapText="false" indent="0" shrinkToFit="false"/>
      <protection locked="true" hidden="false"/>
    </xf>
    <xf numFmtId="180" fontId="0" fillId="3" borderId="0" xfId="0" applyFont="false" applyBorder="true" applyAlignment="false" applyProtection="false">
      <alignment horizontal="general" vertical="bottom" textRotation="0" wrapText="false" indent="0" shrinkToFit="false"/>
      <protection locked="true" hidden="false"/>
    </xf>
    <xf numFmtId="173" fontId="0" fillId="0" borderId="0" xfId="0" applyFont="false" applyBorder="false" applyAlignment="true" applyProtection="false">
      <alignment horizontal="left" vertical="center" textRotation="0" wrapText="false" indent="0" shrinkToFit="false"/>
      <protection locked="true" hidden="false"/>
    </xf>
    <xf numFmtId="186" fontId="0" fillId="0" borderId="0" xfId="20" applyFont="true" applyBorder="true" applyAlignment="true" applyProtection="true">
      <alignment horizontal="left" vertical="center" textRotation="0" wrapText="false" indent="0" shrinkToFit="false"/>
      <protection locked="true" hidden="false"/>
    </xf>
    <xf numFmtId="184" fontId="0" fillId="4" borderId="20" xfId="0" applyFont="false" applyBorder="true" applyAlignment="true" applyProtection="false">
      <alignment horizontal="center" vertical="center" textRotation="0" wrapText="false" indent="0" shrinkToFit="false"/>
      <protection locked="true" hidden="false"/>
    </xf>
    <xf numFmtId="164" fontId="0" fillId="3" borderId="11" xfId="0" applyFont="false" applyBorder="true" applyAlignment="true" applyProtection="false">
      <alignment horizontal="right" vertical="center" textRotation="0" wrapText="false" indent="0" shrinkToFit="false"/>
      <protection locked="true" hidden="false"/>
    </xf>
    <xf numFmtId="176" fontId="0" fillId="3" borderId="0" xfId="0" applyFont="false" applyBorder="true" applyAlignment="false" applyProtection="false">
      <alignment horizontal="general" vertical="bottom" textRotation="0" wrapText="false" indent="0" shrinkToFit="false"/>
      <protection locked="true" hidden="false"/>
    </xf>
    <xf numFmtId="164" fontId="0" fillId="4" borderId="36" xfId="0" applyFont="false" applyBorder="true" applyAlignment="true" applyProtection="false">
      <alignment horizontal="right" vertical="center" textRotation="0" wrapText="false" indent="0" shrinkToFit="false"/>
      <protection locked="true" hidden="false"/>
    </xf>
    <xf numFmtId="188" fontId="4" fillId="4" borderId="37" xfId="0" applyFont="true" applyBorder="true" applyAlignment="true" applyProtection="false">
      <alignment horizontal="center" vertical="center" textRotation="0" wrapText="false" indent="0" shrinkToFit="false"/>
      <protection locked="true" hidden="false"/>
    </xf>
    <xf numFmtId="184" fontId="0" fillId="4" borderId="38" xfId="0" applyFont="false" applyBorder="true" applyAlignment="true" applyProtection="false">
      <alignment horizontal="center" vertical="center" textRotation="0" wrapText="false" indent="0" shrinkToFit="false"/>
      <protection locked="true" hidden="false"/>
    </xf>
    <xf numFmtId="176" fontId="4" fillId="4" borderId="0" xfId="0" applyFont="true" applyBorder="false" applyAlignment="true" applyProtection="false">
      <alignment horizontal="center" vertical="bottom" textRotation="0" wrapText="false" indent="0" shrinkToFit="false"/>
      <protection locked="true" hidden="false"/>
    </xf>
    <xf numFmtId="180" fontId="0" fillId="0" borderId="11" xfId="0" applyFont="false" applyBorder="true" applyAlignment="true" applyProtection="false">
      <alignment horizontal="right" vertical="center" textRotation="0" wrapText="false" indent="0" shrinkToFit="false"/>
      <protection locked="true" hidden="false"/>
    </xf>
    <xf numFmtId="164" fontId="0" fillId="4" borderId="5" xfId="0" applyFont="false" applyBorder="true" applyAlignment="true" applyProtection="false">
      <alignment horizontal="right" vertical="center" textRotation="0" wrapText="false" indent="0" shrinkToFit="false"/>
      <protection locked="true" hidden="false"/>
    </xf>
    <xf numFmtId="184" fontId="0" fillId="3" borderId="11" xfId="0" applyFont="false" applyBorder="true" applyAlignment="true" applyProtection="false">
      <alignment horizontal="right" vertical="center" textRotation="0" wrapText="false" indent="0" shrinkToFit="false"/>
      <protection locked="true" hidden="false"/>
    </xf>
    <xf numFmtId="164" fontId="4" fillId="5" borderId="10" xfId="0" applyFont="true" applyBorder="true" applyAlignment="false" applyProtection="false">
      <alignment horizontal="general" vertical="bottom" textRotation="0" wrapText="false" indent="0" shrinkToFit="false"/>
      <protection locked="true" hidden="false"/>
    </xf>
    <xf numFmtId="176" fontId="4" fillId="5" borderId="0"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6" fontId="4" fillId="4" borderId="0" xfId="0" applyFont="true" applyBorder="false" applyAlignment="true" applyProtection="false">
      <alignment horizontal="center" vertical="bottom" textRotation="0" wrapText="false" indent="0" shrinkToFit="false"/>
      <protection locked="true" hidden="false"/>
    </xf>
    <xf numFmtId="171" fontId="4" fillId="4" borderId="0" xfId="0" applyFont="true" applyBorder="false" applyAlignment="true" applyProtection="false">
      <alignment horizontal="center" vertical="bottom" textRotation="0" wrapText="false" indent="0" shrinkToFit="false"/>
      <protection locked="true" hidden="false"/>
    </xf>
    <xf numFmtId="164" fontId="0" fillId="4" borderId="39" xfId="0" applyFont="true" applyBorder="true" applyAlignment="true" applyProtection="false">
      <alignment horizontal="right" vertical="center" textRotation="0" wrapText="false" indent="0" shrinkToFit="false"/>
      <protection locked="true" hidden="false"/>
    </xf>
    <xf numFmtId="184" fontId="4" fillId="4" borderId="40" xfId="0" applyFont="true" applyBorder="true" applyAlignment="true" applyProtection="false">
      <alignment horizontal="center" vertical="bottom" textRotation="0" wrapText="false" indent="0" shrinkToFit="false"/>
      <protection locked="true" hidden="false"/>
    </xf>
    <xf numFmtId="170" fontId="0" fillId="4" borderId="41" xfId="0" applyFont="false" applyBorder="true" applyAlignment="true" applyProtection="false">
      <alignment horizontal="center" vertical="center" textRotation="0" wrapText="false" indent="0" shrinkToFit="false"/>
      <protection locked="true" hidden="false"/>
    </xf>
    <xf numFmtId="164" fontId="4" fillId="6" borderId="28" xfId="0" applyFont="true" applyBorder="true" applyAlignment="true" applyProtection="false">
      <alignment horizontal="center" vertical="center" textRotation="90" wrapText="false" indent="0" shrinkToFit="false"/>
      <protection locked="true" hidden="false"/>
    </xf>
    <xf numFmtId="165" fontId="4" fillId="6" borderId="0" xfId="0" applyFont="true" applyBorder="false" applyAlignment="true" applyProtection="false">
      <alignment horizontal="center" vertical="center" textRotation="0" wrapText="true" indent="0"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84" fontId="4" fillId="6" borderId="0" xfId="0" applyFont="true" applyBorder="fals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0" fillId="6" borderId="11" xfId="0" applyFont="false" applyBorder="true" applyAlignment="false" applyProtection="false">
      <alignment horizontal="general" vertical="bottom" textRotation="0" wrapText="false" indent="0" shrinkToFit="false"/>
      <protection locked="true" hidden="false"/>
    </xf>
    <xf numFmtId="180" fontId="0" fillId="3" borderId="11" xfId="0" applyFont="false" applyBorder="true" applyAlignment="true" applyProtection="false">
      <alignment horizontal="right" vertical="center" textRotation="0" wrapText="false" indent="0" shrinkToFit="false"/>
      <protection locked="true" hidden="false"/>
    </xf>
    <xf numFmtId="165" fontId="0" fillId="6" borderId="0" xfId="0" applyFont="false" applyBorder="false" applyAlignment="true" applyProtection="false">
      <alignment horizontal="right" vertical="center" textRotation="0" wrapText="true" indent="0" shrinkToFit="false"/>
      <protection locked="true" hidden="false"/>
    </xf>
    <xf numFmtId="166" fontId="0" fillId="6" borderId="0" xfId="0" applyFont="false" applyBorder="false" applyAlignment="true" applyProtection="false">
      <alignment horizontal="center" vertical="center" textRotation="0" wrapText="false" indent="0" shrinkToFit="false"/>
      <protection locked="true" hidden="false"/>
    </xf>
    <xf numFmtId="166" fontId="4" fillId="6" borderId="0" xfId="0" applyFont="true" applyBorder="false" applyAlignment="true" applyProtection="false">
      <alignment horizontal="center" vertical="center"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76" fontId="0" fillId="3" borderId="15" xfId="0" applyFont="false" applyBorder="true" applyAlignment="true" applyProtection="false">
      <alignment horizontal="right" vertical="center" textRotation="0" wrapText="false" indent="0" shrinkToFit="false"/>
      <protection locked="true" hidden="false"/>
    </xf>
    <xf numFmtId="164" fontId="0" fillId="6" borderId="0" xfId="0" applyFont="true" applyBorder="false" applyAlignment="true" applyProtection="false">
      <alignment horizontal="right" vertical="bottom" textRotation="0" wrapText="false" indent="0" shrinkToFit="false"/>
      <protection locked="true" hidden="false"/>
    </xf>
    <xf numFmtId="171" fontId="0" fillId="6" borderId="0" xfId="0" applyFont="false" applyBorder="false" applyAlignment="true" applyProtection="false">
      <alignment horizontal="center" vertical="center" textRotation="0" wrapText="false" indent="0" shrinkToFit="false"/>
      <protection locked="true" hidden="false"/>
    </xf>
    <xf numFmtId="164" fontId="4" fillId="6" borderId="0" xfId="0" applyFont="true" applyBorder="false" applyAlignment="false" applyProtection="false">
      <alignment horizontal="general" vertical="bottom" textRotation="0" wrapText="false" indent="0" shrinkToFit="false"/>
      <protection locked="true" hidden="false"/>
    </xf>
    <xf numFmtId="164" fontId="0" fillId="6" borderId="0" xfId="0" applyFont="true" applyBorder="false" applyAlignment="true" applyProtection="false">
      <alignment horizontal="right" vertical="center" textRotation="0" wrapText="false" indent="0" shrinkToFit="false"/>
      <protection locked="true" hidden="false"/>
    </xf>
    <xf numFmtId="164" fontId="0" fillId="5" borderId="14" xfId="0" applyFont="true" applyBorder="true" applyAlignment="false" applyProtection="false">
      <alignment horizontal="general" vertical="bottom" textRotation="0" wrapText="false" indent="0" shrinkToFit="false"/>
      <protection locked="true" hidden="false"/>
    </xf>
    <xf numFmtId="176" fontId="0" fillId="5" borderId="40" xfId="0" applyFont="fals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89" fontId="0" fillId="6" borderId="0" xfId="0" applyFont="true" applyBorder="false" applyAlignment="true" applyProtection="false">
      <alignment horizontal="right" vertical="center" textRotation="0" wrapText="false" indent="0" shrinkToFit="false"/>
      <protection locked="true" hidden="false"/>
    </xf>
    <xf numFmtId="189" fontId="0" fillId="6" borderId="42" xfId="0" applyFont="true" applyBorder="true" applyAlignment="true" applyProtection="false">
      <alignment horizontal="right" vertical="center" textRotation="0" wrapText="false" indent="0" shrinkToFit="false"/>
      <protection locked="true" hidden="false"/>
    </xf>
    <xf numFmtId="166" fontId="0" fillId="6" borderId="43" xfId="0" applyFont="false" applyBorder="true" applyAlignment="true" applyProtection="false">
      <alignment horizontal="center" vertical="center" textRotation="0" wrapText="false" indent="0" shrinkToFit="false"/>
      <protection locked="true" hidden="false"/>
    </xf>
    <xf numFmtId="166" fontId="4" fillId="6" borderId="43" xfId="0" applyFont="true" applyBorder="true" applyAlignment="true" applyProtection="false">
      <alignment horizontal="center" vertical="center" textRotation="0" wrapText="false" indent="0" shrinkToFit="false"/>
      <protection locked="true" hidden="false"/>
    </xf>
    <xf numFmtId="166" fontId="4" fillId="6" borderId="44" xfId="0" applyFont="true" applyBorder="true" applyAlignment="false" applyProtection="false">
      <alignment horizontal="general" vertical="bottom" textRotation="0" wrapText="false" indent="0" shrinkToFit="false"/>
      <protection locked="true" hidden="false"/>
    </xf>
    <xf numFmtId="166" fontId="0" fillId="6" borderId="0" xfId="0" applyFont="false" applyBorder="fals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76" fontId="0" fillId="0" borderId="0" xfId="0" applyFont="fals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71" fontId="0" fillId="6" borderId="43" xfId="0" applyFont="false" applyBorder="true" applyAlignment="true" applyProtection="false">
      <alignment horizontal="center" vertical="center" textRotation="0" wrapText="false" indent="0" shrinkToFit="false"/>
      <protection locked="true" hidden="false"/>
    </xf>
    <xf numFmtId="180" fontId="0" fillId="3" borderId="0" xfId="0" applyFont="true" applyBorder="true" applyAlignment="false" applyProtection="false">
      <alignment horizontal="general" vertical="bottom" textRotation="0" wrapText="false" indent="0" shrinkToFit="false"/>
      <protection locked="true" hidden="false"/>
    </xf>
    <xf numFmtId="176" fontId="0" fillId="3" borderId="0" xfId="0" applyFont="true" applyBorder="true" applyAlignment="false" applyProtection="false">
      <alignment horizontal="general" vertical="bottom" textRotation="0" wrapText="false" indent="0" shrinkToFit="false"/>
      <protection locked="true" hidden="false"/>
    </xf>
    <xf numFmtId="167" fontId="0" fillId="3" borderId="0" xfId="15" applyFont="true" applyBorder="true" applyAlignment="true" applyProtection="true">
      <alignment horizontal="general" vertical="bottom" textRotation="0" wrapText="false" indent="0" shrinkToFit="false"/>
      <protection locked="true" hidden="false"/>
    </xf>
    <xf numFmtId="169" fontId="0" fillId="3" borderId="0" xfId="0" applyFont="true" applyBorder="true" applyAlignment="false" applyProtection="false">
      <alignment horizontal="general" vertical="bottom" textRotation="0" wrapText="false" indent="0" shrinkToFit="false"/>
      <protection locked="true" hidden="false"/>
    </xf>
    <xf numFmtId="164" fontId="0" fillId="6" borderId="14" xfId="0" applyFont="false" applyBorder="true" applyAlignment="false" applyProtection="false">
      <alignment horizontal="general" vertical="bottom" textRotation="0" wrapText="false" indent="0" shrinkToFit="false"/>
      <protection locked="true" hidden="false"/>
    </xf>
    <xf numFmtId="164" fontId="0" fillId="6" borderId="40" xfId="0" applyFont="false" applyBorder="true" applyAlignment="false" applyProtection="false">
      <alignment horizontal="general" vertical="bottom" textRotation="0" wrapText="false" indent="0" shrinkToFit="false"/>
      <protection locked="true" hidden="false"/>
    </xf>
    <xf numFmtId="171" fontId="0" fillId="6" borderId="40" xfId="0" applyFont="false" applyBorder="true" applyAlignment="true" applyProtection="false">
      <alignment horizontal="center" vertical="center" textRotation="0" wrapText="false" indent="0" shrinkToFit="false"/>
      <protection locked="true" hidden="false"/>
    </xf>
    <xf numFmtId="164" fontId="0" fillId="6" borderId="15" xfId="0" applyFont="fals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9" fontId="0" fillId="3" borderId="40" xfId="0" applyFont="true" applyBorder="true" applyAlignment="false" applyProtection="false">
      <alignment horizontal="general" vertical="bottom" textRotation="0" wrapText="fals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11" fillId="2" borderId="0" xfId="0" applyFont="true" applyBorder="true" applyAlignment="true" applyProtection="false">
      <alignment horizontal="center" vertical="center" textRotation="0" wrapText="false" indent="0" shrinkToFit="false"/>
      <protection locked="true" hidden="false"/>
    </xf>
    <xf numFmtId="164" fontId="4" fillId="2" borderId="36" xfId="0" applyFont="true" applyBorder="true" applyAlignment="true" applyProtection="false">
      <alignment horizontal="center" vertical="center" textRotation="0" wrapText="false" indent="0" shrinkToFit="false"/>
      <protection locked="true" hidden="false"/>
    </xf>
    <xf numFmtId="164" fontId="4" fillId="2" borderId="37" xfId="0" applyFont="true" applyBorder="true" applyAlignment="true" applyProtection="false">
      <alignment horizontal="center" vertical="center" textRotation="0" wrapText="false" indent="0" shrinkToFit="false"/>
      <protection locked="true" hidden="false"/>
    </xf>
    <xf numFmtId="164" fontId="4" fillId="2" borderId="38" xfId="0" applyFont="true" applyBorder="true" applyAlignment="true" applyProtection="false">
      <alignment horizontal="center" vertical="center" textRotation="0" wrapText="false" indent="0" shrinkToFit="false"/>
      <protection locked="true" hidden="false"/>
    </xf>
    <xf numFmtId="164" fontId="4" fillId="2" borderId="38"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right" vertical="center" textRotation="0" wrapText="false" indent="0" shrinkToFit="false"/>
      <protection locked="true" hidden="false"/>
    </xf>
    <xf numFmtId="173" fontId="0" fillId="3" borderId="0" xfId="0" applyFont="false" applyBorder="true" applyAlignment="false" applyProtection="false">
      <alignment horizontal="general" vertical="bottom" textRotation="0" wrapText="false" indent="0" shrinkToFit="false"/>
      <protection locked="true" hidden="false"/>
    </xf>
    <xf numFmtId="176" fontId="0" fillId="3" borderId="6" xfId="0" applyFont="false" applyBorder="true" applyAlignment="false" applyProtection="false">
      <alignment horizontal="general" vertical="bottom" textRotation="0" wrapText="false" indent="0" shrinkToFit="false"/>
      <protection locked="true" hidden="false"/>
    </xf>
    <xf numFmtId="173" fontId="0" fillId="0" borderId="0"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left" vertical="center" textRotation="0" wrapText="false" indent="0" shrinkToFit="false"/>
      <protection locked="true" hidden="false"/>
    </xf>
    <xf numFmtId="168" fontId="0" fillId="3" borderId="0" xfId="15" applyFont="true" applyBorder="true" applyAlignment="true" applyProtection="true">
      <alignment horizontal="general" vertical="bottom" textRotation="0" wrapText="false" indent="0" shrinkToFit="false"/>
      <protection locked="true" hidden="false"/>
    </xf>
    <xf numFmtId="164" fontId="0" fillId="5" borderId="5" xfId="0" applyFont="false" applyBorder="true" applyAlignment="true" applyProtection="false">
      <alignment horizontal="right" vertical="center" textRotation="0" wrapText="false" indent="0" shrinkToFit="false"/>
      <protection locked="true" hidden="false"/>
    </xf>
    <xf numFmtId="173" fontId="0" fillId="5" borderId="0" xfId="0" applyFont="false" applyBorder="true" applyAlignment="false" applyProtection="false">
      <alignment horizontal="general" vertical="bottom" textRotation="0" wrapText="false" indent="0" shrinkToFit="false"/>
      <protection locked="true" hidden="false"/>
    </xf>
    <xf numFmtId="176" fontId="0" fillId="5" borderId="6" xfId="0" applyFont="false" applyBorder="tru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90" fontId="0" fillId="0" borderId="6" xfId="0" applyFont="false" applyBorder="true" applyAlignment="true" applyProtection="false">
      <alignment horizontal="left" vertical="center" textRotation="0" wrapText="false" indent="0" shrinkToFit="false"/>
      <protection locked="true" hidden="false"/>
    </xf>
    <xf numFmtId="180" fontId="0" fillId="3" borderId="0" xfId="15" applyFont="true" applyBorder="true" applyAlignment="true" applyProtection="true">
      <alignment horizontal="general" vertical="bottom" textRotation="0" wrapText="false" indent="0" shrinkToFit="false"/>
      <protection locked="true" hidden="false"/>
    </xf>
    <xf numFmtId="180" fontId="0" fillId="0" borderId="0" xfId="15" applyFont="true" applyBorder="true" applyAlignment="true" applyProtection="true">
      <alignment horizontal="general" vertical="bottom" textRotation="0" wrapText="false" indent="0" shrinkToFit="false"/>
      <protection locked="true" hidden="false"/>
    </xf>
    <xf numFmtId="164" fontId="0" fillId="0" borderId="19" xfId="0" applyFont="false" applyBorder="true" applyAlignment="true" applyProtection="false">
      <alignment horizontal="right" vertical="center" textRotation="0" wrapText="false" indent="0" shrinkToFit="false"/>
      <protection locked="true" hidden="false"/>
    </xf>
    <xf numFmtId="173" fontId="0" fillId="3" borderId="35" xfId="0" applyFont="false" applyBorder="true" applyAlignment="false" applyProtection="false">
      <alignment horizontal="general" vertical="bottom" textRotation="0" wrapText="false" indent="0" shrinkToFit="false"/>
      <protection locked="true" hidden="false"/>
    </xf>
    <xf numFmtId="176" fontId="0" fillId="3" borderId="20" xfId="0" applyFont="fals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right" vertical="center" textRotation="0" wrapText="false" indent="0" shrinkToFit="false"/>
      <protection locked="true" hidden="false"/>
    </xf>
    <xf numFmtId="168" fontId="0" fillId="3" borderId="35" xfId="15" applyFont="true" applyBorder="true" applyAlignment="true" applyProtection="true">
      <alignment horizontal="general" vertical="bottom" textRotation="0" wrapText="false" indent="0" shrinkToFit="false"/>
      <protection locked="true" hidden="false"/>
    </xf>
    <xf numFmtId="164" fontId="0" fillId="0" borderId="20" xfId="0" applyFont="false" applyBorder="true" applyAlignment="true" applyProtection="false">
      <alignment horizontal="left" vertical="center" textRotation="0" wrapText="false" indent="0" shrinkToFit="false"/>
      <protection locked="true" hidden="false"/>
    </xf>
    <xf numFmtId="169" fontId="0" fillId="3" borderId="0" xfId="0" applyFont="false" applyBorder="true" applyAlignment="false" applyProtection="false">
      <alignment horizontal="general" vertical="bottom" textRotation="0" wrapText="false" indent="0" shrinkToFit="false"/>
      <protection locked="true" hidden="false"/>
    </xf>
    <xf numFmtId="169" fontId="0" fillId="5" borderId="0" xfId="0" applyFont="false" applyBorder="true" applyAlignment="false" applyProtection="false">
      <alignment horizontal="general" vertical="bottom" textRotation="0" wrapText="false" indent="0" shrinkToFit="false"/>
      <protection locked="true" hidden="false"/>
    </xf>
    <xf numFmtId="169" fontId="0" fillId="3" borderId="35"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5" fontId="4" fillId="2" borderId="0" xfId="0" applyFont="true" applyBorder="false" applyAlignment="true" applyProtection="false">
      <alignment horizontal="center"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5" fontId="0" fillId="7" borderId="0" xfId="0" applyFont="tru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6" fontId="0" fillId="0" borderId="0" xfId="0" applyFont="false" applyBorder="false" applyAlignment="true" applyProtection="false">
      <alignment horizontal="center" vertical="center" textRotation="0" wrapText="false" indent="0" shrinkToFit="false"/>
      <protection locked="true" hidden="false"/>
    </xf>
    <xf numFmtId="180"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6" fontId="0" fillId="3" borderId="0" xfId="0" applyFont="false" applyBorder="false" applyAlignment="true" applyProtection="false">
      <alignment horizontal="center" vertical="center" textRotation="0" wrapText="false" indent="0" shrinkToFit="false"/>
      <protection locked="true" hidden="false"/>
    </xf>
    <xf numFmtId="184" fontId="4" fillId="3" borderId="0" xfId="0" applyFont="true" applyBorder="false" applyAlignment="true" applyProtection="false">
      <alignment horizontal="center" vertical="center" textRotation="0" wrapText="false" indent="0" shrinkToFit="false"/>
      <protection locked="true" hidden="false"/>
    </xf>
    <xf numFmtId="180" fontId="4" fillId="3" borderId="0" xfId="0" applyFont="true" applyBorder="false" applyAlignment="true" applyProtection="false">
      <alignment horizontal="center" vertical="center" textRotation="0" wrapText="false" indent="0" shrinkToFit="false"/>
      <protection locked="true" hidden="false"/>
    </xf>
    <xf numFmtId="177" fontId="4" fillId="3" borderId="0" xfId="0" applyFont="true" applyBorder="false" applyAlignment="true" applyProtection="false">
      <alignment horizontal="center" vertical="center" textRotation="0" wrapText="false" indent="0" shrinkToFit="false"/>
      <protection locked="true" hidden="false"/>
    </xf>
    <xf numFmtId="176" fontId="4" fillId="3"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5" fontId="0" fillId="0" borderId="0" xfId="0" applyFont="true" applyBorder="true" applyAlignment="true" applyProtection="false">
      <alignment horizontal="left" vertical="top" textRotation="0" wrapText="true" indent="0" shrinkToFit="false"/>
      <protection locked="true" hidden="false"/>
    </xf>
    <xf numFmtId="180" fontId="0" fillId="0" borderId="0" xfId="0" applyFont="false" applyBorder="false" applyAlignment="false" applyProtection="false">
      <alignment horizontal="general" vertical="bottom" textRotation="0" wrapText="false" indent="0" shrinkToFit="false"/>
      <protection locked="true" hidden="false"/>
    </xf>
    <xf numFmtId="176" fontId="4" fillId="3"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true" indent="0" shrinkToFit="false"/>
      <protection locked="true" hidden="false"/>
    </xf>
    <xf numFmtId="165" fontId="0" fillId="3" borderId="0" xfId="0" applyFont="true" applyBorder="false" applyAlignment="true" applyProtection="false">
      <alignment horizontal="center" vertical="center" textRotation="0" wrapText="tru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76" fontId="4" fillId="3"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2" borderId="6" xfId="0" applyFont="true" applyBorder="true" applyAlignment="true" applyProtection="false">
      <alignment horizontal="center" vertical="center" textRotation="0" wrapText="false" indent="0" shrinkToFit="false"/>
      <protection locked="true" hidden="false"/>
    </xf>
    <xf numFmtId="164" fontId="17" fillId="0" borderId="5" xfId="0" applyFont="true" applyBorder="true" applyAlignment="true" applyProtection="false">
      <alignment horizontal="right" vertical="center"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general" vertical="bottom" textRotation="0" wrapText="true" indent="0" shrinkToFit="false"/>
      <protection locked="true" hidden="false"/>
    </xf>
    <xf numFmtId="176" fontId="0" fillId="0" borderId="0" xfId="0" applyFont="false" applyBorder="false" applyAlignment="false" applyProtection="false">
      <alignment horizontal="general" vertical="bottom" textRotation="0" wrapText="false" indent="0" shrinkToFit="false"/>
      <protection locked="true" hidden="false"/>
    </xf>
    <xf numFmtId="180" fontId="0" fillId="3" borderId="0" xfId="0" applyFont="false" applyBorder="false" applyAlignment="false" applyProtection="false">
      <alignment horizontal="general" vertical="bottom" textRotation="0" wrapText="false" indent="0" shrinkToFit="false"/>
      <protection locked="true" hidden="false"/>
    </xf>
    <xf numFmtId="176" fontId="0" fillId="3" borderId="0" xfId="0" applyFont="false" applyBorder="false" applyAlignment="false" applyProtection="false">
      <alignment horizontal="general" vertical="bottom" textRotation="0" wrapText="false" indent="0" shrinkToFit="false"/>
      <protection locked="true" hidden="false"/>
    </xf>
    <xf numFmtId="180" fontId="4" fillId="3" borderId="0" xfId="0" applyFont="true" applyBorder="false" applyAlignment="false" applyProtection="false">
      <alignment horizontal="general" vertical="bottom" textRotation="0" wrapText="false" indent="0" shrinkToFit="false"/>
      <protection locked="true" hidden="false"/>
    </xf>
    <xf numFmtId="164" fontId="17" fillId="0" borderId="19" xfId="0" applyFont="true" applyBorder="true" applyAlignment="true" applyProtection="false">
      <alignment horizontal="right" vertical="center" textRotation="0" wrapText="false" indent="0" shrinkToFit="false"/>
      <protection locked="true" hidden="false"/>
    </xf>
    <xf numFmtId="180" fontId="0" fillId="0" borderId="35" xfId="0" applyFont="fals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38" xfId="0" applyFont="true" applyBorder="true" applyAlignment="true" applyProtection="false">
      <alignment horizontal="center" vertical="center" textRotation="0" wrapText="true" indent="0" shrinkToFit="false"/>
      <protection locked="true" hidden="false"/>
    </xf>
    <xf numFmtId="164" fontId="17" fillId="0" borderId="36" xfId="0" applyFont="true" applyBorder="true" applyAlignment="true" applyProtection="false">
      <alignment horizontal="right" vertical="center" textRotation="0" wrapText="false" indent="0" shrinkToFit="false"/>
      <protection locked="true" hidden="false"/>
    </xf>
    <xf numFmtId="176" fontId="0" fillId="0" borderId="37" xfId="0" applyFont="false" applyBorder="true" applyAlignment="true" applyProtection="false">
      <alignment horizontal="general" vertical="center" textRotation="0" wrapText="fals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80" fontId="4" fillId="3" borderId="35" xfId="0" applyFont="true" applyBorder="true" applyAlignment="false" applyProtection="false">
      <alignment horizontal="general" vertical="bottom" textRotation="0" wrapText="false" indent="0" shrinkToFit="false"/>
      <protection locked="true" hidden="false"/>
    </xf>
    <xf numFmtId="164" fontId="0" fillId="3" borderId="20" xfId="0" applyFont="true" applyBorder="true" applyAlignment="true" applyProtection="false">
      <alignment horizontal="center" vertical="center" textRotation="0" wrapText="false" indent="0" shrinkToFit="false"/>
      <protection locked="true" hidden="false"/>
    </xf>
    <xf numFmtId="164" fontId="0" fillId="3" borderId="6" xfId="0" applyFont="true" applyBorder="true" applyAlignment="true" applyProtection="false">
      <alignment horizontal="center" vertical="center" textRotation="0" wrapText="false" indent="0" shrinkToFit="false"/>
      <protection locked="true" hidden="false"/>
    </xf>
    <xf numFmtId="180" fontId="4" fillId="3" borderId="0" xfId="0" applyFont="true" applyBorder="false" applyAlignment="true" applyProtection="false">
      <alignment horizontal="general" vertical="center" textRotation="0" wrapText="false" indent="0" shrinkToFit="false"/>
      <protection locked="true" hidden="false"/>
    </xf>
    <xf numFmtId="165" fontId="0" fillId="0" borderId="6" xfId="0" applyFont="true" applyBorder="true" applyAlignment="true" applyProtection="false">
      <alignment horizontal="left" vertical="center" textRotation="0" wrapText="true" indent="0" shrinkToFit="false"/>
      <protection locked="true" hidden="false"/>
    </xf>
    <xf numFmtId="176" fontId="4" fillId="3" borderId="0" xfId="0" applyFont="true" applyBorder="false" applyAlignment="true" applyProtection="false">
      <alignment horizontal="general" vertical="center" textRotation="0" wrapText="false" indent="0" shrinkToFit="false"/>
      <protection locked="true" hidden="false"/>
    </xf>
    <xf numFmtId="164" fontId="0" fillId="0" borderId="45" xfId="0" applyFont="true" applyBorder="true" applyAlignment="true" applyProtection="false">
      <alignment horizontal="left" vertical="center" textRotation="0" wrapText="true" indent="0" shrinkToFit="false"/>
      <protection locked="true" hidden="false"/>
    </xf>
    <xf numFmtId="176" fontId="4" fillId="3" borderId="3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center" vertical="top" textRotation="0" wrapText="false" indent="0" shrinkToFit="false"/>
      <protection locked="true" hidden="false"/>
    </xf>
    <xf numFmtId="164" fontId="0" fillId="0" borderId="0" xfId="0" applyFont="false" applyBorder="false" applyAlignment="true" applyProtection="false">
      <alignment horizontal="center" vertical="top" textRotation="0" wrapText="false" indent="0" shrinkToFit="false"/>
      <protection locked="true" hidden="false"/>
    </xf>
    <xf numFmtId="165" fontId="0" fillId="0" borderId="0" xfId="0" applyFont="false" applyBorder="false" applyAlignment="true" applyProtection="false">
      <alignment horizontal="general" vertical="top" textRotation="0" wrapText="false" indent="0" shrinkToFit="false"/>
      <protection locked="true" hidden="false"/>
    </xf>
    <xf numFmtId="165" fontId="0" fillId="0" borderId="0" xfId="0" applyFont="false" applyBorder="false" applyAlignment="true" applyProtection="false">
      <alignment horizontal="left" vertical="top" textRotation="0" wrapText="false" indent="0" shrinkToFit="false"/>
      <protection locked="true" hidden="false"/>
    </xf>
    <xf numFmtId="165" fontId="0" fillId="0" borderId="0" xfId="0" applyFont="false" applyBorder="false" applyAlignment="true" applyProtection="false">
      <alignment horizontal="general" vertical="top" textRotation="0" wrapText="true" indent="0" shrinkToFit="false"/>
      <protection locked="true" hidden="false"/>
    </xf>
    <xf numFmtId="165" fontId="4" fillId="2" borderId="0" xfId="0" applyFont="true" applyBorder="false" applyAlignment="true" applyProtection="false">
      <alignment horizontal="center" vertical="center" textRotation="0" wrapText="false" indent="0" shrinkToFit="false"/>
      <protection locked="true" hidden="false"/>
    </xf>
    <xf numFmtId="165" fontId="0" fillId="0" borderId="0" xfId="0" applyFont="true" applyBorder="false" applyAlignment="true" applyProtection="false">
      <alignment horizontal="left" vertical="top" textRotation="0" wrapText="true" indent="0" shrinkToFit="false"/>
      <protection locked="true" hidden="false"/>
    </xf>
    <xf numFmtId="165" fontId="0" fillId="0" borderId="0" xfId="0" applyFont="fals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5" fontId="0" fillId="0" borderId="0" xfId="0" applyFont="true" applyBorder="false" applyAlignment="true" applyProtection="false">
      <alignment horizontal="center" vertical="top" textRotation="0" wrapText="false" indent="0" shrinkToFit="false"/>
      <protection locked="true" hidden="false"/>
    </xf>
    <xf numFmtId="165" fontId="0"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4F81BD"/>
      <rgbColor rgb="FF9999FF"/>
      <rgbColor rgb="FFC050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2D050"/>
      <rgbColor rgb="FFFFCC00"/>
      <rgbColor rgb="FFFF9900"/>
      <rgbColor rgb="FFFF6600"/>
      <rgbColor rgb="FF595959"/>
      <rgbColor rgb="FFC4BD9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400" spc="-1" strike="noStrike">
                <a:solidFill>
                  <a:srgbClr val="595959"/>
                </a:solidFill>
                <a:latin typeface="Calibri"/>
              </a:defRPr>
            </a:pPr>
            <a:r>
              <a:rPr b="0" sz="1400" spc="-1" strike="noStrike">
                <a:solidFill>
                  <a:srgbClr val="595959"/>
                </a:solidFill>
                <a:latin typeface="Calibri"/>
              </a:rPr>
              <a:t>Gain Bode Plots</a:t>
            </a:r>
          </a:p>
        </c:rich>
      </c:tx>
      <c:overlay val="0"/>
      <c:spPr>
        <a:noFill/>
        <a:ln>
          <a:noFill/>
        </a:ln>
      </c:spPr>
    </c:title>
    <c:autoTitleDeleted val="0"/>
    <c:plotArea>
      <c:scatterChart>
        <c:scatterStyle val="lineMarker"/>
        <c:varyColors val="0"/>
        <c:ser>
          <c:idx val="0"/>
          <c:order val="0"/>
          <c:tx>
            <c:strRef>
              <c:f>"Modulator Gain"</c:f>
              <c:strCache>
                <c:ptCount val="1"/>
                <c:pt idx="0">
                  <c:v>Modulator Gain</c:v>
                </c:pt>
              </c:strCache>
            </c:strRef>
          </c:tx>
          <c:spPr>
            <a:solidFill>
              <a:srgbClr val="4f81bd"/>
            </a:solidFill>
            <a:ln w="19080">
              <a:solidFill>
                <a:srgbClr val="4f81bd"/>
              </a:solidFill>
              <a:round/>
            </a:ln>
          </c:spPr>
          <c:marker>
            <c:symbol val="circle"/>
            <c:size val="5"/>
            <c:spPr>
              <a:solidFill>
                <a:srgbClr val="4f81bd"/>
              </a:solidFill>
            </c:spPr>
          </c:marker>
          <c:dLbls>
            <c:numFmt formatCode="0.000" sourceLinked="1"/>
            <c:dLblPos val="r"/>
            <c:showLegendKey val="0"/>
            <c:showVal val="0"/>
            <c:showCatName val="0"/>
            <c:showSerName val="0"/>
            <c:showPercent val="0"/>
            <c:showLeaderLines val="0"/>
          </c:dLbls>
          <c:xVal>
            <c:numRef>
              <c:f>EA!$C$4:$C$13</c:f>
              <c:numCache>
                <c:formatCode>General</c:formatCode>
                <c:ptCount val="10"/>
                <c:pt idx="0">
                  <c:v>1</c:v>
                </c:pt>
                <c:pt idx="1">
                  <c:v>10</c:v>
                </c:pt>
                <c:pt idx="2">
                  <c:v>100</c:v>
                </c:pt>
                <c:pt idx="3">
                  <c:v>523.100215923559</c:v>
                </c:pt>
                <c:pt idx="4">
                  <c:v>5231.00215923559</c:v>
                </c:pt>
                <c:pt idx="5">
                  <c:v>10000</c:v>
                </c:pt>
                <c:pt idx="6">
                  <c:v>29473.1376096103</c:v>
                </c:pt>
                <c:pt idx="7">
                  <c:v>63661.9772367582</c:v>
                </c:pt>
                <c:pt idx="8">
                  <c:v>100000</c:v>
                </c:pt>
                <c:pt idx="9">
                  <c:v>200000</c:v>
                </c:pt>
              </c:numCache>
            </c:numRef>
          </c:xVal>
          <c:yVal>
            <c:numRef>
              <c:f>EA!$D$4:$D$13</c:f>
              <c:numCache>
                <c:formatCode>General</c:formatCode>
                <c:ptCount val="10"/>
                <c:pt idx="0">
                  <c:v>15.0168294504964</c:v>
                </c:pt>
                <c:pt idx="1">
                  <c:v>15.0168294504964</c:v>
                </c:pt>
                <c:pt idx="2">
                  <c:v>15.0168294504964</c:v>
                </c:pt>
                <c:pt idx="3">
                  <c:v>15.0168294504964</c:v>
                </c:pt>
                <c:pt idx="4">
                  <c:v>-4.98317054950363</c:v>
                </c:pt>
                <c:pt idx="5">
                  <c:v>-10.6114725636217</c:v>
                </c:pt>
                <c:pt idx="6">
                  <c:v>-20</c:v>
                </c:pt>
                <c:pt idx="7">
                  <c:v>-20</c:v>
                </c:pt>
                <c:pt idx="8">
                  <c:v>-23.9223975406031</c:v>
                </c:pt>
                <c:pt idx="9">
                  <c:v>-35.9635973671623</c:v>
                </c:pt>
              </c:numCache>
            </c:numRef>
          </c:yVal>
          <c:smooth val="0"/>
        </c:ser>
        <c:ser>
          <c:idx val="1"/>
          <c:order val="1"/>
          <c:tx>
            <c:strRef>
              <c:f>"EA Gain"</c:f>
              <c:strCache>
                <c:ptCount val="1"/>
                <c:pt idx="0">
                  <c:v>EA Gain</c:v>
                </c:pt>
              </c:strCache>
            </c:strRef>
          </c:tx>
          <c:spPr>
            <a:solidFill>
              <a:srgbClr val="c0504d"/>
            </a:solidFill>
            <a:ln w="19080">
              <a:solidFill>
                <a:srgbClr val="c0504d"/>
              </a:solidFill>
              <a:round/>
            </a:ln>
          </c:spPr>
          <c:marker>
            <c:symbol val="circle"/>
            <c:size val="5"/>
            <c:spPr>
              <a:solidFill>
                <a:srgbClr val="c0504d"/>
              </a:solidFill>
            </c:spPr>
          </c:marker>
          <c:dLbls>
            <c:numFmt formatCode="0.000" sourceLinked="1"/>
            <c:dLblPos val="r"/>
            <c:showLegendKey val="0"/>
            <c:showVal val="0"/>
            <c:showCatName val="0"/>
            <c:showSerName val="0"/>
            <c:showPercent val="0"/>
            <c:showLeaderLines val="0"/>
          </c:dLbls>
          <c:xVal>
            <c:numRef>
              <c:f>EA!$C$16:$C$20</c:f>
              <c:numCache>
                <c:formatCode>General</c:formatCode>
                <c:ptCount val="5"/>
                <c:pt idx="0">
                  <c:v>1</c:v>
                </c:pt>
                <c:pt idx="1">
                  <c:v>468.102773799692</c:v>
                </c:pt>
                <c:pt idx="2">
                  <c:v>10008.1475997505</c:v>
                </c:pt>
                <c:pt idx="3">
                  <c:v>29256.4233624808</c:v>
                </c:pt>
                <c:pt idx="4">
                  <c:v>200000</c:v>
                </c:pt>
              </c:numCache>
            </c:numRef>
          </c:xVal>
          <c:yVal>
            <c:numRef>
              <c:f>EA!$D$16:$D$20</c:f>
              <c:numCache>
                <c:formatCode>General</c:formatCode>
                <c:ptCount val="5"/>
                <c:pt idx="0">
                  <c:v>64.0364026328377</c:v>
                </c:pt>
                <c:pt idx="1">
                  <c:v>10.6295783408451</c:v>
                </c:pt>
                <c:pt idx="2">
                  <c:v>10.6295783408451</c:v>
                </c:pt>
                <c:pt idx="3">
                  <c:v>10.6295783408451</c:v>
                </c:pt>
                <c:pt idx="4">
                  <c:v>-6.06659693356042</c:v>
                </c:pt>
              </c:numCache>
            </c:numRef>
          </c:yVal>
          <c:smooth val="0"/>
        </c:ser>
        <c:axId val="13148027"/>
        <c:axId val="72178281"/>
      </c:scatterChart>
      <c:valAx>
        <c:axId val="13148027"/>
        <c:scaling>
          <c:logBase val="10"/>
          <c:orientation val="minMax"/>
        </c:scaling>
        <c:delete val="0"/>
        <c:axPos val="b"/>
        <c:majorGridlines>
          <c:spPr>
            <a:ln w="9360">
              <a:solidFill>
                <a:srgbClr val="d9d9d9"/>
              </a:solidFill>
              <a:round/>
            </a:ln>
          </c:spPr>
        </c:majorGridlines>
        <c:minorGridlines>
          <c:spPr>
            <a:ln w="9360">
              <a:solidFill>
                <a:srgbClr val="f2f2f2"/>
              </a:solidFill>
              <a:round/>
            </a:ln>
          </c:spPr>
        </c:minorGridlines>
        <c:title>
          <c:tx>
            <c:rich>
              <a:bodyPr rot="0"/>
              <a:lstStyle/>
              <a:p>
                <a:pPr>
                  <a:defRPr b="0" sz="1000" spc="-1" strike="noStrike">
                    <a:solidFill>
                      <a:srgbClr val="595959"/>
                    </a:solidFill>
                    <a:latin typeface="Calibri"/>
                  </a:defRPr>
                </a:pPr>
                <a:r>
                  <a:rPr b="0" sz="1000" spc="-1" strike="noStrike">
                    <a:solidFill>
                      <a:srgbClr val="595959"/>
                    </a:solidFill>
                    <a:latin typeface="Calibri"/>
                  </a:rPr>
                  <a:t>Frequency, Hz</a:t>
                </a:r>
              </a:p>
            </c:rich>
          </c:tx>
          <c:overlay val="0"/>
          <c:spPr>
            <a:noFill/>
            <a:ln>
              <a:noFill/>
            </a:ln>
          </c:spPr>
        </c:title>
        <c:numFmt formatCode="#,##0" sourceLinked="0"/>
        <c:majorTickMark val="cross"/>
        <c:minorTickMark val="cross"/>
        <c:tickLblPos val="low"/>
        <c:spPr>
          <a:ln w="9360">
            <a:solidFill>
              <a:srgbClr val="bfbfbf"/>
            </a:solidFill>
            <a:round/>
          </a:ln>
        </c:spPr>
        <c:txPr>
          <a:bodyPr/>
          <a:lstStyle/>
          <a:p>
            <a:pPr>
              <a:defRPr b="0" sz="900" spc="-1" strike="noStrike">
                <a:solidFill>
                  <a:srgbClr val="595959"/>
                </a:solidFill>
                <a:latin typeface="Calibri"/>
              </a:defRPr>
            </a:pPr>
          </a:p>
        </c:txPr>
        <c:crossAx val="72178281"/>
        <c:crosses val="autoZero"/>
        <c:crossBetween val="midCat"/>
      </c:valAx>
      <c:valAx>
        <c:axId val="72178281"/>
        <c:scaling>
          <c:orientation val="minMax"/>
        </c:scaling>
        <c:delete val="0"/>
        <c:axPos val="l"/>
        <c:majorGridlines>
          <c:spPr>
            <a:ln w="9360">
              <a:solidFill>
                <a:srgbClr val="d9d9d9"/>
              </a:solidFill>
              <a:round/>
            </a:ln>
          </c:spPr>
        </c:majorGridlines>
        <c:minorGridlines>
          <c:spPr>
            <a:ln w="9360">
              <a:solidFill>
                <a:srgbClr val="f2f2f2"/>
              </a:solidFill>
              <a:round/>
            </a:ln>
          </c:spPr>
        </c:minorGridlines>
        <c:title>
          <c:tx>
            <c:rich>
              <a:bodyPr rot="-5400000"/>
              <a:lstStyle/>
              <a:p>
                <a:pPr>
                  <a:defRPr b="0" sz="1000" spc="-1" strike="noStrike">
                    <a:solidFill>
                      <a:srgbClr val="595959"/>
                    </a:solidFill>
                    <a:latin typeface="Calibri"/>
                  </a:defRPr>
                </a:pPr>
                <a:r>
                  <a:rPr b="0" sz="1000" spc="-1" strike="noStrike">
                    <a:solidFill>
                      <a:srgbClr val="595959"/>
                    </a:solidFill>
                    <a:latin typeface="Calibri"/>
                  </a:rPr>
                  <a:t>Gain, dB</a:t>
                </a:r>
              </a:p>
            </c:rich>
          </c:tx>
          <c:overlay val="0"/>
          <c:spPr>
            <a:noFill/>
            <a:ln>
              <a:noFill/>
            </a:ln>
          </c:spPr>
        </c:title>
        <c:numFmt formatCode="General" sourceLinked="0"/>
        <c:majorTickMark val="none"/>
        <c:minorTickMark val="none"/>
        <c:tickLblPos val="nextTo"/>
        <c:spPr>
          <a:ln w="9360">
            <a:solidFill>
              <a:srgbClr val="bfbfbf"/>
            </a:solidFill>
            <a:round/>
          </a:ln>
        </c:spPr>
        <c:txPr>
          <a:bodyPr/>
          <a:lstStyle/>
          <a:p>
            <a:pPr>
              <a:defRPr b="0" sz="900" spc="-1" strike="noStrike">
                <a:solidFill>
                  <a:srgbClr val="595959"/>
                </a:solidFill>
                <a:latin typeface="Calibri"/>
              </a:defRPr>
            </a:pPr>
          </a:p>
        </c:txPr>
        <c:crossAx val="13148027"/>
        <c:crosses val="autoZero"/>
        <c:crossBetween val="midCat"/>
      </c:valAx>
      <c:spPr>
        <a:noFill/>
        <a:ln>
          <a:noFill/>
        </a:ln>
      </c:spPr>
    </c:plotArea>
    <c:legend>
      <c:legendPos val="r"/>
      <c:overlay val="0"/>
      <c:spPr>
        <a:noFill/>
        <a:ln>
          <a:noFill/>
        </a:ln>
      </c:spPr>
      <c:txPr>
        <a:bodyPr/>
        <a:lstStyle/>
        <a:p>
          <a:pPr>
            <a:defRPr b="0" sz="900" spc="-1" strike="noStrike">
              <a:solidFill>
                <a:srgbClr val="595959"/>
              </a:solidFill>
              <a:latin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t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7200</xdr:colOff>
      <xdr:row>20</xdr:row>
      <xdr:rowOff>88560</xdr:rowOff>
    </xdr:from>
    <xdr:to>
      <xdr:col>5</xdr:col>
      <xdr:colOff>3109320</xdr:colOff>
      <xdr:row>47</xdr:row>
      <xdr:rowOff>10440</xdr:rowOff>
    </xdr:to>
    <xdr:graphicFrame>
      <xdr:nvGraphicFramePr>
        <xdr:cNvPr id="0" name="Chart 1"/>
        <xdr:cNvGraphicFramePr/>
      </xdr:nvGraphicFramePr>
      <xdr:xfrm>
        <a:off x="1026720" y="4190400"/>
        <a:ext cx="10227600" cy="54082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3213000</xdr:colOff>
      <xdr:row>30</xdr:row>
      <xdr:rowOff>76320</xdr:rowOff>
    </xdr:from>
    <xdr:to>
      <xdr:col>9</xdr:col>
      <xdr:colOff>1318680</xdr:colOff>
      <xdr:row>41</xdr:row>
      <xdr:rowOff>99720</xdr:rowOff>
    </xdr:to>
    <xdr:sp>
      <xdr:nvSpPr>
        <xdr:cNvPr id="1" name="CustomShape 1"/>
        <xdr:cNvSpPr/>
      </xdr:nvSpPr>
      <xdr:spPr>
        <a:xfrm>
          <a:off x="11358000" y="6210360"/>
          <a:ext cx="5912280" cy="22586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nSpc>
              <a:spcPct val="100000"/>
            </a:lnSpc>
          </a:pPr>
          <a:r>
            <a:rPr b="1" lang="en-US" sz="1100" spc="-1" strike="noStrike">
              <a:solidFill>
                <a:srgbClr val="000000"/>
              </a:solidFill>
              <a:latin typeface="Calibri"/>
            </a:rPr>
            <a:t>Assumptions</a:t>
          </a:r>
          <a:endParaRPr b="0" lang="en-US" sz="1100" spc="-1" strike="noStrike">
            <a:latin typeface="Times New Roman"/>
          </a:endParaRPr>
        </a:p>
        <a:p>
          <a:pPr>
            <a:lnSpc>
              <a:spcPct val="100000"/>
            </a:lnSpc>
          </a:pPr>
          <a:r>
            <a:rPr b="0" lang="en-US" sz="1100" spc="-1" strike="noStrike">
              <a:solidFill>
                <a:srgbClr val="000000"/>
              </a:solidFill>
              <a:latin typeface="Calibri"/>
            </a:rPr>
            <a:t>1) Because the modulator employs current mode control the buck inductor is not a factor in the small signal analysis and therefore does not introduce phase shift.</a:t>
          </a:r>
          <a:endParaRPr b="0" lang="en-US" sz="1100" spc="-1" strike="noStrike">
            <a:latin typeface="Times New Roman"/>
          </a:endParaRPr>
        </a:p>
        <a:p>
          <a:pPr>
            <a:lnSpc>
              <a:spcPct val="100000"/>
            </a:lnSpc>
          </a:pPr>
          <a:r>
            <a:rPr b="0" lang="en-US" sz="1100" spc="-1" strike="noStrike">
              <a:solidFill>
                <a:srgbClr val="000000"/>
              </a:solidFill>
              <a:latin typeface="Calibri"/>
            </a:rPr>
            <a:t>2) The maximum open loop phase shift is limited to 90 degrees caused by the output filter capacitor.</a:t>
          </a:r>
          <a:endParaRPr b="0" lang="en-US" sz="1100" spc="-1" strike="noStrike">
            <a:latin typeface="Times New Roman"/>
          </a:endParaRPr>
        </a:p>
        <a:p>
          <a:pPr>
            <a:lnSpc>
              <a:spcPct val="100000"/>
            </a:lnSpc>
          </a:pPr>
          <a:r>
            <a:rPr b="0" lang="en-US" sz="1100" spc="-1" strike="noStrike">
              <a:solidFill>
                <a:srgbClr val="000000"/>
              </a:solidFill>
              <a:latin typeface="Calibri"/>
            </a:rPr>
            <a:t>3) The maximum closed loop phase shift is 270 degrees.</a:t>
          </a:r>
          <a:endParaRPr b="0" lang="en-US" sz="1100" spc="-1" strike="noStrike">
            <a:latin typeface="Times New Roman"/>
          </a:endParaRPr>
        </a:p>
        <a:p>
          <a:pPr>
            <a:lnSpc>
              <a:spcPct val="100000"/>
            </a:lnSpc>
          </a:pPr>
          <a:r>
            <a:rPr b="0" lang="en-US" sz="1100" spc="-1" strike="noStrike">
              <a:solidFill>
                <a:srgbClr val="000000"/>
              </a:solidFill>
              <a:latin typeface="Calibri"/>
            </a:rPr>
            <a:t>4) Capacitor C1 provides high gain at frequencies below the output filter capacitor pole, Cp.</a:t>
          </a:r>
          <a:endParaRPr b="0" lang="en-US" sz="1100" spc="-1" strike="noStrike">
            <a:latin typeface="Times New Roman"/>
          </a:endParaRPr>
        </a:p>
        <a:p>
          <a:pPr>
            <a:lnSpc>
              <a:spcPct val="100000"/>
            </a:lnSpc>
          </a:pPr>
          <a:r>
            <a:rPr b="0" lang="en-US" sz="1100" spc="-1" strike="noStrike">
              <a:solidFill>
                <a:srgbClr val="000000"/>
              </a:solidFill>
              <a:latin typeface="Calibri"/>
            </a:rPr>
            <a:t>5) Capacitor C2 is set to cancel the ESR zero of the output capacitor to ensure high frequency attenuation.  Its value is calculated to match the impedance of R2 at the ESR zero frequency.</a:t>
          </a:r>
          <a:endParaRPr b="0" lang="en-US" sz="1100" spc="-1" strike="noStrike">
            <a:latin typeface="Times New Roman"/>
          </a:endParaRPr>
        </a:p>
      </xdr:txBody>
    </xdr:sp>
    <xdr:clientData/>
  </xdr:twoCellAnchor>
  <xdr:twoCellAnchor editAs="oneCell">
    <xdr:from>
      <xdr:col>5</xdr:col>
      <xdr:colOff>3276720</xdr:colOff>
      <xdr:row>15</xdr:row>
      <xdr:rowOff>139680</xdr:rowOff>
    </xdr:from>
    <xdr:to>
      <xdr:col>9</xdr:col>
      <xdr:colOff>1255320</xdr:colOff>
      <xdr:row>29</xdr:row>
      <xdr:rowOff>101880</xdr:rowOff>
    </xdr:to>
    <xdr:pic>
      <xdr:nvPicPr>
        <xdr:cNvPr id="2" name="Picture 4" descr=""/>
        <xdr:cNvPicPr/>
      </xdr:nvPicPr>
      <xdr:blipFill>
        <a:blip r:embed="rId2"/>
        <a:stretch/>
      </xdr:blipFill>
      <xdr:spPr>
        <a:xfrm>
          <a:off x="11421720" y="3225600"/>
          <a:ext cx="5785200" cy="28069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home/bcornell/Documents/electronics/mpptproto/home/bcornell/Documents/electronics/mpptproto/home/bcornell/Documents/electronics/mpptproto/home/bcornell/Documents/electronics/mpptproto/home/bcornell/Documents/electronics/mpptproto/Users/bcornell/Documents/electronics/wireaw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ow r="5">
          <cell r="A5">
            <v>40</v>
          </cell>
          <cell r="B5">
            <v>0.00314</v>
          </cell>
          <cell r="C5">
            <v>0.0799</v>
          </cell>
          <cell r="D5">
            <v>0.102</v>
          </cell>
          <cell r="E5">
            <v>318</v>
          </cell>
          <cell r="F5">
            <v>125</v>
          </cell>
          <cell r="G5">
            <v>0.00989</v>
          </cell>
          <cell r="H5">
            <v>5.01E-005</v>
          </cell>
          <cell r="I5">
            <v>0.00501</v>
          </cell>
          <cell r="J5">
            <v>3441</v>
          </cell>
          <cell r="K5">
            <v>34410</v>
          </cell>
          <cell r="L5">
            <v>1049</v>
          </cell>
        </row>
        <row r="6">
          <cell r="A6">
            <v>39</v>
          </cell>
          <cell r="B6">
            <v>0.00353</v>
          </cell>
          <cell r="C6">
            <v>0.0897</v>
          </cell>
          <cell r="D6">
            <v>0.114</v>
          </cell>
          <cell r="E6">
            <v>283</v>
          </cell>
          <cell r="F6">
            <v>111</v>
          </cell>
          <cell r="G6">
            <v>0.0125</v>
          </cell>
          <cell r="H6">
            <v>6.32E-005</v>
          </cell>
          <cell r="I6">
            <v>0.00632</v>
          </cell>
          <cell r="J6">
            <v>2729</v>
          </cell>
          <cell r="K6">
            <v>27290</v>
          </cell>
          <cell r="L6">
            <v>831.8</v>
          </cell>
        </row>
        <row r="7">
          <cell r="A7">
            <v>38</v>
          </cell>
          <cell r="B7">
            <v>0.00397</v>
          </cell>
          <cell r="C7">
            <v>0.101</v>
          </cell>
          <cell r="D7">
            <v>0.13</v>
          </cell>
          <cell r="E7">
            <v>252</v>
          </cell>
          <cell r="F7">
            <v>99.3</v>
          </cell>
          <cell r="G7">
            <v>0.0157</v>
          </cell>
          <cell r="H7">
            <v>7.97E-005</v>
          </cell>
          <cell r="I7">
            <v>0.00797</v>
          </cell>
          <cell r="J7">
            <v>2164</v>
          </cell>
          <cell r="K7">
            <v>21640</v>
          </cell>
          <cell r="L7">
            <v>659.6</v>
          </cell>
        </row>
        <row r="8">
          <cell r="A8">
            <v>37</v>
          </cell>
          <cell r="B8">
            <v>0.00445</v>
          </cell>
          <cell r="C8">
            <v>0.113</v>
          </cell>
          <cell r="D8">
            <v>0.145</v>
          </cell>
          <cell r="E8">
            <v>225</v>
          </cell>
          <cell r="F8">
            <v>88.4</v>
          </cell>
          <cell r="G8">
            <v>0.0198</v>
          </cell>
          <cell r="H8">
            <v>0.0001</v>
          </cell>
          <cell r="I8">
            <v>0.01</v>
          </cell>
          <cell r="J8">
            <v>1716</v>
          </cell>
          <cell r="K8">
            <v>17160</v>
          </cell>
          <cell r="L8">
            <v>523.1</v>
          </cell>
        </row>
        <row r="9">
          <cell r="A9">
            <v>36</v>
          </cell>
          <cell r="B9">
            <v>0.005</v>
          </cell>
          <cell r="C9">
            <v>0.127</v>
          </cell>
          <cell r="D9">
            <v>0.16</v>
          </cell>
          <cell r="E9">
            <v>200</v>
          </cell>
          <cell r="F9">
            <v>78.7</v>
          </cell>
          <cell r="G9">
            <v>0.025</v>
          </cell>
          <cell r="H9">
            <v>0.000127</v>
          </cell>
          <cell r="I9">
            <v>0.0127</v>
          </cell>
          <cell r="J9">
            <v>1361</v>
          </cell>
          <cell r="K9">
            <v>13610</v>
          </cell>
          <cell r="L9">
            <v>414.8</v>
          </cell>
        </row>
        <row r="10">
          <cell r="A10">
            <v>35</v>
          </cell>
          <cell r="B10">
            <v>0.00561</v>
          </cell>
          <cell r="C10">
            <v>0.143</v>
          </cell>
          <cell r="D10">
            <v>0.178</v>
          </cell>
          <cell r="E10">
            <v>178</v>
          </cell>
          <cell r="F10">
            <v>70.1</v>
          </cell>
          <cell r="G10">
            <v>0.0315</v>
          </cell>
          <cell r="H10">
            <v>0.00016</v>
          </cell>
          <cell r="I10">
            <v>0.016</v>
          </cell>
          <cell r="J10">
            <v>1079</v>
          </cell>
          <cell r="K10">
            <v>10790</v>
          </cell>
          <cell r="L10">
            <v>329</v>
          </cell>
        </row>
        <row r="11">
          <cell r="A11">
            <v>34</v>
          </cell>
          <cell r="B11">
            <v>0.0063</v>
          </cell>
          <cell r="C11">
            <v>0.16</v>
          </cell>
          <cell r="D11">
            <v>0.198</v>
          </cell>
          <cell r="E11">
            <v>159</v>
          </cell>
          <cell r="F11">
            <v>62.4</v>
          </cell>
          <cell r="G11">
            <v>0.0398</v>
          </cell>
          <cell r="H11">
            <v>0.000201</v>
          </cell>
          <cell r="I11">
            <v>0.0201</v>
          </cell>
          <cell r="J11">
            <v>856</v>
          </cell>
          <cell r="K11">
            <v>8560</v>
          </cell>
          <cell r="L11">
            <v>260.9</v>
          </cell>
        </row>
        <row r="12">
          <cell r="A12">
            <v>33</v>
          </cell>
          <cell r="B12">
            <v>0.00708</v>
          </cell>
          <cell r="C12">
            <v>0.18</v>
          </cell>
          <cell r="D12">
            <v>0.224</v>
          </cell>
          <cell r="E12">
            <v>141</v>
          </cell>
          <cell r="F12">
            <v>55.6</v>
          </cell>
          <cell r="G12">
            <v>0.0501</v>
          </cell>
          <cell r="H12">
            <v>0.000254</v>
          </cell>
          <cell r="I12">
            <v>0.0254</v>
          </cell>
          <cell r="J12">
            <v>678.8</v>
          </cell>
          <cell r="K12">
            <v>6788</v>
          </cell>
          <cell r="L12">
            <v>206.9</v>
          </cell>
        </row>
        <row r="13">
          <cell r="A13">
            <v>32</v>
          </cell>
          <cell r="B13">
            <v>0.00795</v>
          </cell>
          <cell r="C13">
            <v>0.202</v>
          </cell>
          <cell r="D13">
            <v>0.249</v>
          </cell>
          <cell r="E13">
            <v>126</v>
          </cell>
          <cell r="F13">
            <v>49.5</v>
          </cell>
          <cell r="G13">
            <v>0.0632</v>
          </cell>
          <cell r="H13">
            <v>0.00032</v>
          </cell>
          <cell r="I13">
            <v>0.032</v>
          </cell>
          <cell r="J13">
            <v>538.3</v>
          </cell>
          <cell r="K13">
            <v>5383</v>
          </cell>
          <cell r="L13">
            <v>164.1</v>
          </cell>
        </row>
        <row r="14">
          <cell r="A14">
            <v>31</v>
          </cell>
          <cell r="B14">
            <v>0.00893</v>
          </cell>
          <cell r="C14">
            <v>0.227</v>
          </cell>
          <cell r="D14">
            <v>0.274</v>
          </cell>
          <cell r="E14">
            <v>112</v>
          </cell>
          <cell r="F14">
            <v>44.1</v>
          </cell>
          <cell r="G14">
            <v>0.0797</v>
          </cell>
          <cell r="H14">
            <v>0.000404</v>
          </cell>
          <cell r="I14">
            <v>0.0404</v>
          </cell>
          <cell r="J14">
            <v>426.9</v>
          </cell>
          <cell r="K14">
            <v>4269</v>
          </cell>
          <cell r="L14">
            <v>130.1</v>
          </cell>
        </row>
        <row r="15">
          <cell r="A15">
            <v>30</v>
          </cell>
          <cell r="B15">
            <v>0.01</v>
          </cell>
          <cell r="C15">
            <v>0.255</v>
          </cell>
          <cell r="D15">
            <v>0.302</v>
          </cell>
          <cell r="E15">
            <v>99.7</v>
          </cell>
          <cell r="F15">
            <v>39.3</v>
          </cell>
          <cell r="G15">
            <v>0.101</v>
          </cell>
          <cell r="H15">
            <v>0.000509</v>
          </cell>
          <cell r="I15">
            <v>0.0509</v>
          </cell>
          <cell r="J15">
            <v>338.6</v>
          </cell>
          <cell r="K15">
            <v>3386</v>
          </cell>
          <cell r="L15">
            <v>103.2</v>
          </cell>
        </row>
        <row r="16">
          <cell r="A16">
            <v>29</v>
          </cell>
          <cell r="B16">
            <v>0.0113</v>
          </cell>
          <cell r="C16">
            <v>0.286</v>
          </cell>
          <cell r="D16">
            <v>0.338</v>
          </cell>
          <cell r="E16">
            <v>88.8</v>
          </cell>
          <cell r="F16">
            <v>35</v>
          </cell>
          <cell r="G16">
            <v>0.127</v>
          </cell>
          <cell r="H16">
            <v>0.000642</v>
          </cell>
          <cell r="I16">
            <v>0.0642</v>
          </cell>
          <cell r="J16">
            <v>268.5</v>
          </cell>
          <cell r="K16">
            <v>2685</v>
          </cell>
          <cell r="L16">
            <v>81.84</v>
          </cell>
        </row>
        <row r="17">
          <cell r="A17">
            <v>28</v>
          </cell>
          <cell r="B17">
            <v>0.0126</v>
          </cell>
          <cell r="C17">
            <v>0.321</v>
          </cell>
          <cell r="D17">
            <v>0.373</v>
          </cell>
          <cell r="E17">
            <v>79.1</v>
          </cell>
          <cell r="F17">
            <v>31.1</v>
          </cell>
          <cell r="G17">
            <v>0.16</v>
          </cell>
          <cell r="H17">
            <v>0.00081</v>
          </cell>
          <cell r="I17">
            <v>0.081</v>
          </cell>
          <cell r="J17">
            <v>212.9</v>
          </cell>
          <cell r="K17">
            <v>2129</v>
          </cell>
          <cell r="L17">
            <v>64.9</v>
          </cell>
        </row>
        <row r="18">
          <cell r="A18">
            <v>27</v>
          </cell>
          <cell r="B18">
            <v>0.0142</v>
          </cell>
          <cell r="C18">
            <v>0.361</v>
          </cell>
          <cell r="D18">
            <v>0.417</v>
          </cell>
          <cell r="E18">
            <v>70.4</v>
          </cell>
          <cell r="F18">
            <v>27.7</v>
          </cell>
          <cell r="G18">
            <v>0.202</v>
          </cell>
          <cell r="H18">
            <v>0.00102</v>
          </cell>
          <cell r="I18">
            <v>0.102</v>
          </cell>
          <cell r="J18">
            <v>168.9</v>
          </cell>
          <cell r="K18">
            <v>1689</v>
          </cell>
          <cell r="L18">
            <v>51.47</v>
          </cell>
        </row>
        <row r="19">
          <cell r="A19">
            <v>26</v>
          </cell>
          <cell r="B19">
            <v>0.0159</v>
          </cell>
          <cell r="C19">
            <v>0.405</v>
          </cell>
          <cell r="D19">
            <v>0.462</v>
          </cell>
          <cell r="E19">
            <v>62.7</v>
          </cell>
          <cell r="F19">
            <v>24.7</v>
          </cell>
          <cell r="G19">
            <v>0.254</v>
          </cell>
          <cell r="H19">
            <v>0.00129</v>
          </cell>
          <cell r="I19">
            <v>0.129</v>
          </cell>
          <cell r="J19">
            <v>133.9</v>
          </cell>
          <cell r="K19">
            <v>1339</v>
          </cell>
          <cell r="L19">
            <v>40.81</v>
          </cell>
        </row>
        <row r="20">
          <cell r="A20">
            <v>25</v>
          </cell>
          <cell r="B20">
            <v>0.0179</v>
          </cell>
          <cell r="C20">
            <v>0.455</v>
          </cell>
          <cell r="D20">
            <v>0.516</v>
          </cell>
          <cell r="E20">
            <v>55.9</v>
          </cell>
          <cell r="F20">
            <v>22</v>
          </cell>
          <cell r="G20">
            <v>0.32</v>
          </cell>
          <cell r="H20">
            <v>0.00162</v>
          </cell>
          <cell r="I20">
            <v>0.162</v>
          </cell>
          <cell r="J20">
            <v>106.2</v>
          </cell>
          <cell r="K20">
            <v>1062</v>
          </cell>
          <cell r="L20">
            <v>32.37</v>
          </cell>
        </row>
        <row r="21">
          <cell r="A21">
            <v>24</v>
          </cell>
          <cell r="B21">
            <v>0.0201</v>
          </cell>
          <cell r="C21">
            <v>0.511</v>
          </cell>
          <cell r="D21">
            <v>0.577</v>
          </cell>
          <cell r="E21">
            <v>49.7</v>
          </cell>
          <cell r="F21">
            <v>19.6</v>
          </cell>
          <cell r="G21">
            <v>0.404</v>
          </cell>
          <cell r="H21">
            <v>0.00205</v>
          </cell>
          <cell r="I21">
            <v>0.205</v>
          </cell>
          <cell r="J21">
            <v>84.22</v>
          </cell>
          <cell r="K21">
            <v>842.2</v>
          </cell>
          <cell r="L21">
            <v>25.67</v>
          </cell>
        </row>
        <row r="22">
          <cell r="A22">
            <v>23</v>
          </cell>
          <cell r="B22">
            <v>0.0226</v>
          </cell>
          <cell r="C22">
            <v>0.573</v>
          </cell>
          <cell r="D22">
            <v>0.642</v>
          </cell>
          <cell r="E22">
            <v>44.3</v>
          </cell>
          <cell r="F22">
            <v>17.4</v>
          </cell>
          <cell r="G22">
            <v>0.509</v>
          </cell>
          <cell r="H22">
            <v>0.00258</v>
          </cell>
          <cell r="I22">
            <v>0.258</v>
          </cell>
          <cell r="J22">
            <v>66.79</v>
          </cell>
          <cell r="K22">
            <v>667.9</v>
          </cell>
          <cell r="L22">
            <v>20.36</v>
          </cell>
        </row>
        <row r="23">
          <cell r="A23">
            <v>22</v>
          </cell>
          <cell r="B23">
            <v>0.0253</v>
          </cell>
          <cell r="C23">
            <v>0.644</v>
          </cell>
          <cell r="D23">
            <v>0.714</v>
          </cell>
          <cell r="E23">
            <v>39.5</v>
          </cell>
          <cell r="F23">
            <v>15.5</v>
          </cell>
          <cell r="G23">
            <v>0.642</v>
          </cell>
          <cell r="H23">
            <v>0.00326</v>
          </cell>
          <cell r="I23">
            <v>0.326</v>
          </cell>
          <cell r="J23">
            <v>52.96</v>
          </cell>
          <cell r="K23">
            <v>529.6</v>
          </cell>
          <cell r="L23">
            <v>16.14</v>
          </cell>
        </row>
        <row r="24">
          <cell r="A24">
            <v>21</v>
          </cell>
          <cell r="B24">
            <v>0.0285</v>
          </cell>
          <cell r="C24">
            <v>0.723</v>
          </cell>
          <cell r="D24">
            <v>0.798</v>
          </cell>
          <cell r="E24">
            <v>35.1</v>
          </cell>
          <cell r="F24">
            <v>13.8</v>
          </cell>
          <cell r="G24">
            <v>0.81</v>
          </cell>
          <cell r="H24">
            <v>0.0041</v>
          </cell>
          <cell r="I24">
            <v>0.41</v>
          </cell>
          <cell r="J24">
            <v>42</v>
          </cell>
          <cell r="K24">
            <v>420</v>
          </cell>
          <cell r="L24">
            <v>12.8</v>
          </cell>
        </row>
        <row r="25">
          <cell r="A25">
            <v>20</v>
          </cell>
          <cell r="B25">
            <v>0.032</v>
          </cell>
          <cell r="C25">
            <v>0.812</v>
          </cell>
          <cell r="D25">
            <v>0.892</v>
          </cell>
          <cell r="E25">
            <v>31.3</v>
          </cell>
          <cell r="F25">
            <v>12.3</v>
          </cell>
          <cell r="G25">
            <v>1.02</v>
          </cell>
          <cell r="H25">
            <v>0.00518</v>
          </cell>
          <cell r="I25">
            <v>0.518</v>
          </cell>
          <cell r="J25">
            <v>33.31</v>
          </cell>
          <cell r="K25">
            <v>333.1</v>
          </cell>
          <cell r="L25">
            <v>10.15</v>
          </cell>
        </row>
        <row r="26">
          <cell r="A26">
            <v>19</v>
          </cell>
          <cell r="B26">
            <v>0.0359</v>
          </cell>
          <cell r="C26">
            <v>0.912</v>
          </cell>
          <cell r="D26">
            <v>0.993</v>
          </cell>
          <cell r="E26">
            <v>27.9</v>
          </cell>
          <cell r="F26">
            <v>11</v>
          </cell>
          <cell r="G26">
            <v>1.29</v>
          </cell>
          <cell r="H26">
            <v>0.00653</v>
          </cell>
          <cell r="I26">
            <v>0.653</v>
          </cell>
          <cell r="J26">
            <v>26.42</v>
          </cell>
          <cell r="K26">
            <v>264.2</v>
          </cell>
          <cell r="L26">
            <v>8.051</v>
          </cell>
        </row>
        <row r="27">
          <cell r="A27">
            <v>18</v>
          </cell>
          <cell r="B27">
            <v>0.0403</v>
          </cell>
          <cell r="C27">
            <v>1.024</v>
          </cell>
          <cell r="D27">
            <v>1.11</v>
          </cell>
          <cell r="E27">
            <v>24.8</v>
          </cell>
          <cell r="F27">
            <v>9.77</v>
          </cell>
          <cell r="G27">
            <v>1.62</v>
          </cell>
          <cell r="H27">
            <v>0.00823</v>
          </cell>
          <cell r="I27">
            <v>0.823</v>
          </cell>
          <cell r="J27">
            <v>20.95</v>
          </cell>
          <cell r="K27">
            <v>209.5</v>
          </cell>
          <cell r="L27">
            <v>6.385</v>
          </cell>
        </row>
        <row r="28">
          <cell r="A28">
            <v>17</v>
          </cell>
          <cell r="B28">
            <v>0.0453</v>
          </cell>
          <cell r="C28">
            <v>1.15</v>
          </cell>
          <cell r="D28">
            <v>1.24</v>
          </cell>
          <cell r="E28">
            <v>22.1</v>
          </cell>
          <cell r="F28">
            <v>8.7</v>
          </cell>
          <cell r="G28">
            <v>2.05</v>
          </cell>
          <cell r="H28">
            <v>0.0104</v>
          </cell>
          <cell r="I28">
            <v>1.04</v>
          </cell>
          <cell r="J28">
            <v>16.61</v>
          </cell>
          <cell r="K28">
            <v>166.1</v>
          </cell>
          <cell r="L28">
            <v>5.064</v>
          </cell>
        </row>
        <row r="29">
          <cell r="A29">
            <v>16</v>
          </cell>
          <cell r="B29">
            <v>0.0508</v>
          </cell>
          <cell r="C29">
            <v>1.291</v>
          </cell>
          <cell r="D29">
            <v>1.384</v>
          </cell>
          <cell r="E29">
            <v>19.7</v>
          </cell>
          <cell r="F29">
            <v>7.75</v>
          </cell>
          <cell r="G29">
            <v>2.58</v>
          </cell>
          <cell r="H29">
            <v>0.0131</v>
          </cell>
          <cell r="I29">
            <v>1.31</v>
          </cell>
          <cell r="J29">
            <v>13.17</v>
          </cell>
          <cell r="K29">
            <v>131.7</v>
          </cell>
          <cell r="L29">
            <v>4.016</v>
          </cell>
        </row>
        <row r="30">
          <cell r="A30">
            <v>15</v>
          </cell>
          <cell r="B30">
            <v>0.0571</v>
          </cell>
          <cell r="C30">
            <v>1.45</v>
          </cell>
          <cell r="D30">
            <v>1.547</v>
          </cell>
          <cell r="E30">
            <v>17.5</v>
          </cell>
          <cell r="F30">
            <v>6.9</v>
          </cell>
          <cell r="G30">
            <v>3.26</v>
          </cell>
          <cell r="H30">
            <v>0.0165</v>
          </cell>
          <cell r="I30">
            <v>1.65</v>
          </cell>
          <cell r="J30">
            <v>10.45</v>
          </cell>
          <cell r="K30">
            <v>104.5</v>
          </cell>
          <cell r="L30">
            <v>3.184</v>
          </cell>
        </row>
        <row r="31">
          <cell r="A31">
            <v>14</v>
          </cell>
          <cell r="B31">
            <v>0.0641</v>
          </cell>
          <cell r="C31">
            <v>1.628</v>
          </cell>
          <cell r="D31">
            <v>1.732</v>
          </cell>
          <cell r="E31">
            <v>15.6</v>
          </cell>
          <cell r="F31">
            <v>6.14</v>
          </cell>
          <cell r="G31">
            <v>4.11</v>
          </cell>
          <cell r="H31">
            <v>0.0208</v>
          </cell>
          <cell r="I31">
            <v>2.08</v>
          </cell>
          <cell r="J31">
            <v>8.286</v>
          </cell>
          <cell r="K31">
            <v>82.86</v>
          </cell>
          <cell r="L31">
            <v>2.525</v>
          </cell>
        </row>
        <row r="32">
          <cell r="A32">
            <v>13</v>
          </cell>
          <cell r="B32">
            <v>0.072</v>
          </cell>
          <cell r="C32">
            <v>1.828</v>
          </cell>
          <cell r="D32">
            <v>1.934</v>
          </cell>
          <cell r="E32">
            <v>13.9</v>
          </cell>
          <cell r="F32">
            <v>5.47</v>
          </cell>
          <cell r="G32">
            <v>5.18</v>
          </cell>
          <cell r="H32">
            <v>0.0262</v>
          </cell>
          <cell r="I32">
            <v>2.62</v>
          </cell>
          <cell r="J32">
            <v>6.571</v>
          </cell>
          <cell r="K32">
            <v>65.71</v>
          </cell>
          <cell r="L32">
            <v>2.003</v>
          </cell>
        </row>
        <row r="33">
          <cell r="A33">
            <v>12</v>
          </cell>
          <cell r="B33">
            <v>0.0808</v>
          </cell>
          <cell r="C33">
            <v>2.053</v>
          </cell>
          <cell r="D33">
            <v>2.163</v>
          </cell>
          <cell r="E33">
            <v>12.4</v>
          </cell>
          <cell r="F33">
            <v>4.87</v>
          </cell>
          <cell r="G33">
            <v>6.53</v>
          </cell>
          <cell r="H33">
            <v>0.0331</v>
          </cell>
          <cell r="I33">
            <v>3.31</v>
          </cell>
          <cell r="J33">
            <v>5.211</v>
          </cell>
          <cell r="K33">
            <v>52.11</v>
          </cell>
          <cell r="L33">
            <v>1.588</v>
          </cell>
        </row>
        <row r="34">
          <cell r="A34">
            <v>11</v>
          </cell>
          <cell r="B34">
            <v>0.0907</v>
          </cell>
          <cell r="C34">
            <v>2.305</v>
          </cell>
          <cell r="D34">
            <v>2.418</v>
          </cell>
          <cell r="E34">
            <v>11</v>
          </cell>
          <cell r="F34">
            <v>4.34</v>
          </cell>
          <cell r="G34">
            <v>8.23</v>
          </cell>
          <cell r="H34">
            <v>0.0417</v>
          </cell>
          <cell r="I34">
            <v>4.17</v>
          </cell>
          <cell r="J34">
            <v>4.132</v>
          </cell>
          <cell r="K34">
            <v>41.32</v>
          </cell>
          <cell r="L34">
            <v>1.26</v>
          </cell>
        </row>
        <row r="35">
          <cell r="A35">
            <v>10</v>
          </cell>
          <cell r="B35">
            <v>0.1019</v>
          </cell>
          <cell r="C35">
            <v>2.588</v>
          </cell>
          <cell r="D35">
            <v>2.703</v>
          </cell>
          <cell r="E35">
            <v>9.81</v>
          </cell>
          <cell r="F35">
            <v>3.86</v>
          </cell>
          <cell r="G35">
            <v>10.4</v>
          </cell>
          <cell r="H35">
            <v>0.0526</v>
          </cell>
          <cell r="I35">
            <v>5.26</v>
          </cell>
          <cell r="J35">
            <v>3.277</v>
          </cell>
          <cell r="K35">
            <v>32.77</v>
          </cell>
          <cell r="L35">
            <v>0.9989</v>
          </cell>
        </row>
        <row r="36">
          <cell r="A36">
            <v>9</v>
          </cell>
          <cell r="B36">
            <v>0.1144</v>
          </cell>
          <cell r="C36">
            <v>2.906</v>
          </cell>
          <cell r="D36">
            <v>0</v>
          </cell>
          <cell r="E36">
            <v>8.74</v>
          </cell>
          <cell r="F36">
            <v>3.44</v>
          </cell>
          <cell r="G36">
            <v>13.1</v>
          </cell>
          <cell r="H36">
            <v>0.0663</v>
          </cell>
          <cell r="I36">
            <v>6.63</v>
          </cell>
          <cell r="J36">
            <v>2.599</v>
          </cell>
          <cell r="K36">
            <v>25.99</v>
          </cell>
          <cell r="L36">
            <v>0.7921</v>
          </cell>
        </row>
        <row r="37">
          <cell r="A37">
            <v>8</v>
          </cell>
          <cell r="B37">
            <v>0.1285</v>
          </cell>
          <cell r="C37">
            <v>3.264</v>
          </cell>
          <cell r="D37">
            <v>0</v>
          </cell>
          <cell r="E37">
            <v>7.78</v>
          </cell>
          <cell r="F37">
            <v>3.06</v>
          </cell>
          <cell r="G37">
            <v>16.5</v>
          </cell>
          <cell r="H37">
            <v>0.0837</v>
          </cell>
          <cell r="I37">
            <v>8.37</v>
          </cell>
          <cell r="J37">
            <v>2.061</v>
          </cell>
          <cell r="K37">
            <v>20.61</v>
          </cell>
          <cell r="L37">
            <v>0.6282</v>
          </cell>
        </row>
        <row r="38">
          <cell r="A38">
            <v>7</v>
          </cell>
          <cell r="B38">
            <v>0.1443</v>
          </cell>
          <cell r="C38">
            <v>3.665</v>
          </cell>
          <cell r="D38">
            <v>0</v>
          </cell>
          <cell r="E38">
            <v>6.93</v>
          </cell>
          <cell r="F38">
            <v>2.73</v>
          </cell>
          <cell r="G38">
            <v>20.8</v>
          </cell>
          <cell r="H38">
            <v>0.105</v>
          </cell>
          <cell r="I38">
            <v>10.5</v>
          </cell>
          <cell r="J38">
            <v>1.634</v>
          </cell>
          <cell r="K38">
            <v>16.34</v>
          </cell>
          <cell r="L38">
            <v>0.4982</v>
          </cell>
        </row>
        <row r="39">
          <cell r="A39">
            <v>6</v>
          </cell>
          <cell r="B39">
            <v>0.162</v>
          </cell>
          <cell r="C39">
            <v>4.115</v>
          </cell>
          <cell r="D39">
            <v>0</v>
          </cell>
          <cell r="E39">
            <v>6.17</v>
          </cell>
          <cell r="F39">
            <v>2.43</v>
          </cell>
          <cell r="G39">
            <v>26.3</v>
          </cell>
          <cell r="H39">
            <v>0.133</v>
          </cell>
          <cell r="I39">
            <v>13.3</v>
          </cell>
          <cell r="J39">
            <v>1.296</v>
          </cell>
          <cell r="K39">
            <v>12.96</v>
          </cell>
          <cell r="L39">
            <v>0.3951</v>
          </cell>
        </row>
        <row r="40">
          <cell r="A40">
            <v>5</v>
          </cell>
          <cell r="B40">
            <v>0.1819</v>
          </cell>
          <cell r="C40">
            <v>4.621</v>
          </cell>
          <cell r="D40">
            <v>0</v>
          </cell>
          <cell r="E40">
            <v>5.5</v>
          </cell>
          <cell r="F40">
            <v>2.16</v>
          </cell>
          <cell r="G40">
            <v>33.1</v>
          </cell>
          <cell r="H40">
            <v>0.168</v>
          </cell>
          <cell r="I40">
            <v>16.8</v>
          </cell>
          <cell r="J40">
            <v>1.028</v>
          </cell>
          <cell r="K40">
            <v>10.28</v>
          </cell>
          <cell r="L40">
            <v>0.3133</v>
          </cell>
        </row>
        <row r="41">
          <cell r="A41">
            <v>4</v>
          </cell>
          <cell r="B41">
            <v>0.2043</v>
          </cell>
          <cell r="C41">
            <v>5.189</v>
          </cell>
          <cell r="D41">
            <v>0</v>
          </cell>
          <cell r="E41">
            <v>4.89</v>
          </cell>
          <cell r="F41">
            <v>1.93</v>
          </cell>
          <cell r="G41">
            <v>41.7</v>
          </cell>
          <cell r="H41">
            <v>0.212</v>
          </cell>
          <cell r="I41">
            <v>21.2</v>
          </cell>
          <cell r="J41">
            <v>0.8152</v>
          </cell>
          <cell r="K41">
            <v>8.152</v>
          </cell>
          <cell r="L41">
            <v>0.2485</v>
          </cell>
        </row>
        <row r="42">
          <cell r="A42">
            <v>3</v>
          </cell>
          <cell r="B42">
            <v>0.2294</v>
          </cell>
          <cell r="C42">
            <v>5.827</v>
          </cell>
          <cell r="D42">
            <v>0</v>
          </cell>
          <cell r="E42">
            <v>4.36</v>
          </cell>
          <cell r="F42">
            <v>1.72</v>
          </cell>
          <cell r="G42">
            <v>52.6</v>
          </cell>
          <cell r="H42">
            <v>0.267</v>
          </cell>
          <cell r="I42">
            <v>26.7</v>
          </cell>
          <cell r="J42">
            <v>0.6465</v>
          </cell>
          <cell r="K42">
            <v>6.465</v>
          </cell>
          <cell r="L42">
            <v>0.197</v>
          </cell>
        </row>
        <row r="43">
          <cell r="A43">
            <v>2</v>
          </cell>
          <cell r="B43">
            <v>0.2576</v>
          </cell>
          <cell r="C43">
            <v>6.544</v>
          </cell>
          <cell r="D43">
            <v>0</v>
          </cell>
          <cell r="E43">
            <v>3.88</v>
          </cell>
          <cell r="F43">
            <v>1.53</v>
          </cell>
          <cell r="G43">
            <v>66.4</v>
          </cell>
          <cell r="H43">
            <v>0.336</v>
          </cell>
          <cell r="I43">
            <v>33.6</v>
          </cell>
          <cell r="J43">
            <v>0.5127</v>
          </cell>
          <cell r="K43">
            <v>5.127</v>
          </cell>
          <cell r="L43">
            <v>0.1563</v>
          </cell>
        </row>
        <row r="44">
          <cell r="A44">
            <v>1</v>
          </cell>
          <cell r="B44">
            <v>0.2893</v>
          </cell>
          <cell r="C44">
            <v>7.348</v>
          </cell>
          <cell r="D44">
            <v>0</v>
          </cell>
          <cell r="E44">
            <v>3.46</v>
          </cell>
          <cell r="F44">
            <v>1.36</v>
          </cell>
          <cell r="G44">
            <v>83.7</v>
          </cell>
          <cell r="H44">
            <v>0.424</v>
          </cell>
          <cell r="I44">
            <v>42.4</v>
          </cell>
          <cell r="J44">
            <v>0.4066</v>
          </cell>
          <cell r="K44">
            <v>4.066</v>
          </cell>
          <cell r="L44">
            <v>0.1239</v>
          </cell>
        </row>
      </sheetData>
    </sheetDataSet>
  </externalBook>
</externalLink>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C10"/>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A1" activeCellId="0" sqref="A1"/>
    </sheetView>
  </sheetViews>
  <sheetFormatPr defaultRowHeight="16" zeroHeight="false" outlineLevelRow="0" outlineLevelCol="0"/>
  <cols>
    <col collapsed="false" customWidth="true" hidden="false" outlineLevel="0" max="1" min="1" style="0" width="10.49"/>
    <col collapsed="false" customWidth="true" hidden="false" outlineLevel="0" max="2" min="2" style="1" width="31"/>
    <col collapsed="false" customWidth="true" hidden="false" outlineLevel="0" max="3" min="3" style="2" width="11.5"/>
    <col collapsed="false" customWidth="true" hidden="false" outlineLevel="0" max="4" min="4" style="0" width="39.17"/>
    <col collapsed="false" customWidth="true" hidden="false" outlineLevel="0" max="6" min="5" style="0" width="10.49"/>
    <col collapsed="false" customWidth="true" hidden="false" outlineLevel="0" max="7" min="7" style="0" width="47.83"/>
    <col collapsed="false" customWidth="true" hidden="false" outlineLevel="0" max="1025" min="8" style="0" width="10.49"/>
  </cols>
  <sheetData>
    <row r="2" customFormat="false" ht="16" hidden="false" customHeight="false" outlineLevel="0" collapsed="false">
      <c r="B2" s="1" t="s">
        <v>0</v>
      </c>
      <c r="C2" s="2" t="s">
        <v>1</v>
      </c>
    </row>
    <row r="3" customFormat="false" ht="16" hidden="false" customHeight="false" outlineLevel="0" collapsed="false">
      <c r="B3" s="1" t="s">
        <v>2</v>
      </c>
      <c r="C3" s="2" t="s">
        <v>3</v>
      </c>
    </row>
    <row r="4" customFormat="false" ht="16" hidden="false" customHeight="false" outlineLevel="0" collapsed="false">
      <c r="B4" s="1" t="s">
        <v>4</v>
      </c>
      <c r="C4" s="3" t="n">
        <v>15</v>
      </c>
    </row>
    <row r="5" customFormat="false" ht="16" hidden="false" customHeight="false" outlineLevel="0" collapsed="false">
      <c r="B5" s="1" t="s">
        <v>5</v>
      </c>
      <c r="C5" s="3" t="n">
        <v>17.5</v>
      </c>
    </row>
    <row r="6" customFormat="false" ht="16" hidden="false" customHeight="false" outlineLevel="0" collapsed="false">
      <c r="B6" s="1" t="s">
        <v>6</v>
      </c>
      <c r="C6" s="3" t="n">
        <v>22</v>
      </c>
    </row>
    <row r="7" customFormat="false" ht="16" hidden="false" customHeight="false" outlineLevel="0" collapsed="false">
      <c r="B7" s="1" t="s">
        <v>7</v>
      </c>
      <c r="C7" s="3" t="n">
        <v>12</v>
      </c>
    </row>
    <row r="8" customFormat="false" ht="16" hidden="false" customHeight="false" outlineLevel="0" collapsed="false">
      <c r="B8" s="1" t="s">
        <v>8</v>
      </c>
      <c r="C8" s="3" t="n">
        <v>11</v>
      </c>
    </row>
    <row r="9" customFormat="false" ht="16" hidden="false" customHeight="false" outlineLevel="0" collapsed="false">
      <c r="B9" s="1" t="s">
        <v>9</v>
      </c>
      <c r="C9" s="3" t="n">
        <v>100</v>
      </c>
    </row>
    <row r="10" customFormat="false" ht="16" hidden="false" customHeight="false" outlineLevel="0" collapsed="false">
      <c r="B10" s="1" t="s">
        <v>10</v>
      </c>
      <c r="C10" s="3" t="n">
        <f aca="false">C9/C4</f>
        <v>6.66666666666667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2:AA38"/>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7.5"/>
    <col collapsed="false" customWidth="true" hidden="false" outlineLevel="0" max="2" min="2" style="0" width="13.5"/>
    <col collapsed="false" customWidth="true" hidden="false" outlineLevel="0" max="3" min="3" style="0" width="3.16"/>
    <col collapsed="false" customWidth="true" hidden="false" outlineLevel="0" max="4" min="4" style="0" width="11.83"/>
    <col collapsed="false" customWidth="true" hidden="false" outlineLevel="0" max="5" min="5" style="0" width="11.5"/>
    <col collapsed="false" customWidth="true" hidden="false" outlineLevel="0" max="7" min="6" style="0" width="10.49"/>
    <col collapsed="false" customWidth="true" hidden="false" outlineLevel="0" max="12" min="8" style="0" width="10.66"/>
    <col collapsed="false" customWidth="true" hidden="false" outlineLevel="0" max="13" min="13" style="0" width="10.49"/>
    <col collapsed="false" customWidth="true" hidden="false" outlineLevel="0" max="14" min="14" style="0" width="3.67"/>
    <col collapsed="false" customWidth="true" hidden="false" outlineLevel="0" max="15" min="15" style="0" width="26.16"/>
    <col collapsed="false" customWidth="true" hidden="false" outlineLevel="0" max="16" min="16" style="0" width="10.49"/>
    <col collapsed="false" customWidth="true" hidden="false" outlineLevel="0" max="17" min="17" style="0" width="3.67"/>
    <col collapsed="false" customWidth="true" hidden="false" outlineLevel="0" max="18" min="18" style="0" width="14.16"/>
    <col collapsed="false" customWidth="true" hidden="false" outlineLevel="0" max="19" min="19" style="0" width="10.49"/>
    <col collapsed="false" customWidth="true" hidden="false" outlineLevel="0" max="20" min="20" style="0" width="4.16"/>
    <col collapsed="false" customWidth="true" hidden="false" outlineLevel="0" max="21" min="21" style="0" width="8.5"/>
    <col collapsed="false" customWidth="true" hidden="false" outlineLevel="0" max="22" min="22" style="0" width="9.5"/>
    <col collapsed="false" customWidth="true" hidden="false" outlineLevel="0" max="23" min="23" style="0" width="10.49"/>
    <col collapsed="false" customWidth="true" hidden="false" outlineLevel="0" max="24" min="24" style="0" width="11.66"/>
    <col collapsed="false" customWidth="true" hidden="false" outlineLevel="0" max="25" min="25" style="0" width="10.49"/>
    <col collapsed="false" customWidth="true" hidden="false" outlineLevel="0" max="26" min="26" style="0" width="14.35"/>
    <col collapsed="false" customWidth="true" hidden="false" outlineLevel="0" max="1025" min="27" style="0" width="10.49"/>
  </cols>
  <sheetData>
    <row r="2" customFormat="false" ht="15.65" hidden="false" customHeight="true" outlineLevel="0" collapsed="false">
      <c r="A2" s="4" t="s">
        <v>11</v>
      </c>
      <c r="B2" s="4"/>
      <c r="D2" s="5" t="s">
        <v>12</v>
      </c>
      <c r="E2" s="5"/>
      <c r="F2" s="5"/>
      <c r="G2" s="5"/>
      <c r="H2" s="5"/>
      <c r="I2" s="5"/>
      <c r="J2" s="5"/>
      <c r="K2" s="5"/>
      <c r="L2" s="5"/>
      <c r="M2" s="5"/>
      <c r="O2" s="6" t="s">
        <v>13</v>
      </c>
      <c r="P2" s="6"/>
      <c r="R2" s="7" t="s">
        <v>14</v>
      </c>
      <c r="S2" s="7"/>
      <c r="U2" s="8" t="s">
        <v>15</v>
      </c>
      <c r="V2" s="8"/>
      <c r="W2" s="8"/>
      <c r="X2" s="8" t="s">
        <v>16</v>
      </c>
      <c r="Y2" s="8"/>
      <c r="Z2" s="8"/>
      <c r="AA2" s="8"/>
    </row>
    <row r="3" customFormat="false" ht="15" hidden="false" customHeight="false" outlineLevel="0" collapsed="false">
      <c r="A3" s="9" t="s">
        <v>17</v>
      </c>
      <c r="B3" s="10" t="n">
        <v>16000000</v>
      </c>
      <c r="C3" s="11"/>
      <c r="D3" s="12" t="s">
        <v>18</v>
      </c>
      <c r="E3" s="13" t="n">
        <v>32000000</v>
      </c>
      <c r="F3" s="14"/>
      <c r="G3" s="14"/>
      <c r="H3" s="14"/>
      <c r="I3" s="14"/>
      <c r="J3" s="14"/>
      <c r="K3" s="14"/>
      <c r="L3" s="14"/>
      <c r="M3" s="14"/>
      <c r="O3" s="15" t="s">
        <v>19</v>
      </c>
      <c r="P3" s="16" t="n">
        <v>1E-006</v>
      </c>
      <c r="R3" s="15" t="s">
        <v>20</v>
      </c>
      <c r="S3" s="17" t="n">
        <f aca="false">1.024*4</f>
        <v>4.096</v>
      </c>
      <c r="U3" s="18" t="s">
        <v>21</v>
      </c>
      <c r="V3" s="19" t="s">
        <v>22</v>
      </c>
      <c r="W3" s="20" t="s">
        <v>23</v>
      </c>
      <c r="X3" s="18" t="s">
        <v>24</v>
      </c>
      <c r="Y3" s="19" t="s">
        <v>25</v>
      </c>
      <c r="Z3" s="19" t="s">
        <v>26</v>
      </c>
      <c r="AA3" s="20" t="s">
        <v>27</v>
      </c>
    </row>
    <row r="4" customFormat="false" ht="28.75" hidden="false" customHeight="false" outlineLevel="0" collapsed="false">
      <c r="A4" s="9" t="s">
        <v>28</v>
      </c>
      <c r="B4" s="21" t="n">
        <f aca="false">1/B3</f>
        <v>6.25E-008</v>
      </c>
      <c r="C4" s="22"/>
      <c r="D4" s="23" t="s">
        <v>29</v>
      </c>
      <c r="E4" s="24" t="n">
        <v>1</v>
      </c>
      <c r="F4" s="24" t="n">
        <v>2</v>
      </c>
      <c r="G4" s="24" t="n">
        <v>4</v>
      </c>
      <c r="H4" s="24" t="n">
        <v>8</v>
      </c>
      <c r="I4" s="24" t="n">
        <v>16</v>
      </c>
      <c r="J4" s="24" t="n">
        <v>32</v>
      </c>
      <c r="K4" s="24" t="n">
        <v>64</v>
      </c>
      <c r="L4" s="24" t="n">
        <v>128</v>
      </c>
      <c r="M4" s="25" t="n">
        <v>256</v>
      </c>
      <c r="O4" s="15" t="s">
        <v>30</v>
      </c>
      <c r="P4" s="26" t="n">
        <v>12</v>
      </c>
      <c r="R4" s="15" t="s">
        <v>31</v>
      </c>
      <c r="S4" s="27" t="n">
        <f aca="false">S3/1024</f>
        <v>0.004</v>
      </c>
      <c r="U4" s="28" t="n">
        <v>1</v>
      </c>
      <c r="V4" s="29" t="s">
        <v>32</v>
      </c>
      <c r="W4" s="30" t="s">
        <v>33</v>
      </c>
      <c r="X4" s="31" t="s">
        <v>34</v>
      </c>
      <c r="Y4" s="29" t="s">
        <v>35</v>
      </c>
      <c r="Z4" s="29" t="s">
        <v>32</v>
      </c>
      <c r="AA4" s="30" t="s">
        <v>32</v>
      </c>
    </row>
    <row r="5" customFormat="false" ht="15" hidden="false" customHeight="false" outlineLevel="0" collapsed="false">
      <c r="A5" s="9" t="s">
        <v>36</v>
      </c>
      <c r="B5" s="32" t="n">
        <f aca="false">B3/4</f>
        <v>4000000</v>
      </c>
      <c r="D5" s="12" t="s">
        <v>37</v>
      </c>
      <c r="E5" s="33" t="n">
        <f aca="false">($E$3/4)/E4</f>
        <v>8000000</v>
      </c>
      <c r="F5" s="33" t="n">
        <f aca="false">($E$3/4)/F4</f>
        <v>4000000</v>
      </c>
      <c r="G5" s="33" t="n">
        <f aca="false">($E$3/4)/G4</f>
        <v>2000000</v>
      </c>
      <c r="H5" s="33" t="n">
        <f aca="false">($E$3/4)/H4</f>
        <v>1000000</v>
      </c>
      <c r="I5" s="33" t="n">
        <f aca="false">($E$3/4)/I4</f>
        <v>500000</v>
      </c>
      <c r="J5" s="33" t="n">
        <f aca="false">($E$3/4)/J4</f>
        <v>250000</v>
      </c>
      <c r="K5" s="33" t="n">
        <f aca="false">($E$3/4)/K4</f>
        <v>125000</v>
      </c>
      <c r="L5" s="33" t="n">
        <f aca="false">($E$3/4)/L4</f>
        <v>62500</v>
      </c>
      <c r="M5" s="34" t="n">
        <f aca="false">($E$3/4)/M4</f>
        <v>31250</v>
      </c>
      <c r="O5" s="35" t="s">
        <v>38</v>
      </c>
      <c r="P5" s="36" t="n">
        <f aca="false">P3*P4</f>
        <v>1.2E-005</v>
      </c>
      <c r="R5" s="15" t="s">
        <v>39</v>
      </c>
      <c r="S5" s="37" t="n">
        <v>0.283</v>
      </c>
      <c r="U5" s="28" t="n">
        <v>2</v>
      </c>
      <c r="V5" s="29" t="s">
        <v>40</v>
      </c>
      <c r="W5" s="30" t="s">
        <v>33</v>
      </c>
      <c r="X5" s="31" t="n">
        <v>0</v>
      </c>
      <c r="Y5" s="29" t="n">
        <v>0</v>
      </c>
      <c r="Z5" s="29" t="s">
        <v>35</v>
      </c>
      <c r="AA5" s="30" t="s">
        <v>41</v>
      </c>
    </row>
    <row r="6" customFormat="false" ht="15" hidden="false" customHeight="false" outlineLevel="0" collapsed="false">
      <c r="A6" s="9" t="s">
        <v>42</v>
      </c>
      <c r="B6" s="21" t="n">
        <f aca="false">1/B5</f>
        <v>2.5E-007</v>
      </c>
      <c r="C6" s="22"/>
      <c r="D6" s="12" t="s">
        <v>43</v>
      </c>
      <c r="E6" s="38" t="n">
        <f aca="false">1/E5</f>
        <v>1.25E-007</v>
      </c>
      <c r="F6" s="38" t="n">
        <f aca="false">1/F5</f>
        <v>2.5E-007</v>
      </c>
      <c r="G6" s="38" t="n">
        <f aca="false">1/G5</f>
        <v>5E-007</v>
      </c>
      <c r="H6" s="38" t="n">
        <f aca="false">1/H5</f>
        <v>1E-006</v>
      </c>
      <c r="I6" s="38" t="n">
        <f aca="false">1/I5</f>
        <v>2E-006</v>
      </c>
      <c r="J6" s="38" t="n">
        <f aca="false">1/J5</f>
        <v>4E-006</v>
      </c>
      <c r="K6" s="38" t="n">
        <f aca="false">1/K5</f>
        <v>8E-006</v>
      </c>
      <c r="L6" s="38" t="n">
        <f aca="false">1/L5</f>
        <v>1.6E-005</v>
      </c>
      <c r="M6" s="39" t="n">
        <f aca="false">1/M5</f>
        <v>3.2E-005</v>
      </c>
      <c r="O6" s="15"/>
      <c r="P6" s="40"/>
      <c r="R6" s="41" t="s">
        <v>44</v>
      </c>
      <c r="S6" s="42" t="str">
        <f aca="false">"0x"&amp;DEC2HEX(S5/S4,4)&amp;" / "&amp;TEXT(S5/S4,"0")</f>
        <v>0x0046 / 71</v>
      </c>
      <c r="U6" s="28" t="n">
        <v>3</v>
      </c>
      <c r="V6" s="29" t="s">
        <v>45</v>
      </c>
      <c r="W6" s="30" t="s">
        <v>46</v>
      </c>
      <c r="X6" s="31" t="n">
        <v>0</v>
      </c>
      <c r="Y6" s="29" t="n">
        <v>0</v>
      </c>
      <c r="Z6" s="29" t="s">
        <v>35</v>
      </c>
      <c r="AA6" s="30" t="s">
        <v>41</v>
      </c>
    </row>
    <row r="7" customFormat="false" ht="29.85" hidden="false" customHeight="false" outlineLevel="0" collapsed="false">
      <c r="A7" s="9" t="s">
        <v>47</v>
      </c>
      <c r="B7" s="43" t="n">
        <f aca="false">B13/B6</f>
        <v>20</v>
      </c>
      <c r="D7" s="23" t="s">
        <v>48</v>
      </c>
      <c r="E7" s="38" t="n">
        <f aca="false">E6*256</f>
        <v>3.2E-005</v>
      </c>
      <c r="F7" s="38" t="n">
        <f aca="false">F6*256</f>
        <v>6.4E-005</v>
      </c>
      <c r="G7" s="38" t="n">
        <f aca="false">G6*256</f>
        <v>0.000128</v>
      </c>
      <c r="H7" s="38" t="n">
        <f aca="false">H6*256</f>
        <v>0.000256</v>
      </c>
      <c r="I7" s="38" t="n">
        <f aca="false">I6*256</f>
        <v>0.000512</v>
      </c>
      <c r="J7" s="38" t="n">
        <f aca="false">J6*256</f>
        <v>0.001024</v>
      </c>
      <c r="K7" s="38" t="n">
        <f aca="false">K6*256</f>
        <v>0.002048</v>
      </c>
      <c r="L7" s="38" t="n">
        <f aca="false">L6*256</f>
        <v>0.004096</v>
      </c>
      <c r="M7" s="38" t="n">
        <f aca="false">M6*256</f>
        <v>0.008192</v>
      </c>
      <c r="O7" s="15" t="s">
        <v>49</v>
      </c>
      <c r="P7" s="44" t="n">
        <v>2E-006</v>
      </c>
      <c r="R7" s="45"/>
      <c r="U7" s="28" t="n">
        <v>4</v>
      </c>
      <c r="V7" s="29" t="s">
        <v>50</v>
      </c>
      <c r="W7" s="30" t="s">
        <v>33</v>
      </c>
      <c r="X7" s="31" t="n">
        <v>0</v>
      </c>
      <c r="Y7" s="29" t="n">
        <v>0</v>
      </c>
      <c r="Z7" s="29" t="s">
        <v>50</v>
      </c>
      <c r="AA7" s="30" t="s">
        <v>51</v>
      </c>
    </row>
    <row r="8" customFormat="false" ht="15.65" hidden="false" customHeight="false" outlineLevel="0" collapsed="false">
      <c r="A8" s="9" t="s">
        <v>52</v>
      </c>
      <c r="B8" s="46" t="s">
        <v>53</v>
      </c>
      <c r="C8" s="47"/>
      <c r="D8" s="48" t="s">
        <v>54</v>
      </c>
      <c r="E8" s="49" t="n">
        <f aca="false">1/E7</f>
        <v>31250</v>
      </c>
      <c r="F8" s="49" t="n">
        <f aca="false">1/F7</f>
        <v>15625</v>
      </c>
      <c r="G8" s="49" t="n">
        <f aca="false">1/G7</f>
        <v>7812.5</v>
      </c>
      <c r="H8" s="49" t="n">
        <f aca="false">1/H7</f>
        <v>3906.25</v>
      </c>
      <c r="I8" s="49" t="n">
        <f aca="false">1/I7</f>
        <v>1953.125</v>
      </c>
      <c r="J8" s="49" t="n">
        <f aca="false">1/J7</f>
        <v>976.5625</v>
      </c>
      <c r="K8" s="49" t="n">
        <f aca="false">1/K7</f>
        <v>488.28125</v>
      </c>
      <c r="L8" s="49" t="n">
        <f aca="false">1/L7</f>
        <v>244.140625</v>
      </c>
      <c r="M8" s="50" t="n">
        <f aca="false">1/M7</f>
        <v>122.0703125</v>
      </c>
      <c r="O8" s="15" t="s">
        <v>55</v>
      </c>
      <c r="P8" s="51" t="n">
        <v>10000</v>
      </c>
      <c r="R8" s="45"/>
      <c r="U8" s="28" t="n">
        <v>5</v>
      </c>
      <c r="V8" s="29" t="s">
        <v>56</v>
      </c>
      <c r="W8" s="30" t="s">
        <v>33</v>
      </c>
      <c r="X8" s="31" t="n">
        <v>0</v>
      </c>
      <c r="Y8" s="29" t="n">
        <v>0</v>
      </c>
      <c r="Z8" s="29" t="s">
        <v>56</v>
      </c>
      <c r="AA8" s="30" t="s">
        <v>57</v>
      </c>
    </row>
    <row r="9" customFormat="false" ht="15" hidden="false" customHeight="false" outlineLevel="0" collapsed="false">
      <c r="A9" s="9" t="s">
        <v>58</v>
      </c>
      <c r="B9" s="46" t="s">
        <v>59</v>
      </c>
      <c r="C9" s="47"/>
      <c r="O9" s="15" t="s">
        <v>60</v>
      </c>
      <c r="P9" s="52" t="n">
        <v>50</v>
      </c>
      <c r="R9" s="45"/>
      <c r="U9" s="28" t="n">
        <v>6</v>
      </c>
      <c r="V9" s="29" t="s">
        <v>61</v>
      </c>
      <c r="W9" s="30" t="s">
        <v>33</v>
      </c>
      <c r="X9" s="31" t="n">
        <v>0</v>
      </c>
      <c r="Y9" s="29" t="n">
        <v>0</v>
      </c>
      <c r="Z9" s="29" t="s">
        <v>61</v>
      </c>
      <c r="AA9" s="30" t="s">
        <v>62</v>
      </c>
    </row>
    <row r="10" customFormat="false" ht="15.65" hidden="false" customHeight="true" outlineLevel="0" collapsed="false">
      <c r="A10" s="9" t="s">
        <v>63</v>
      </c>
      <c r="B10" s="46" t="s">
        <v>64</v>
      </c>
      <c r="C10" s="47"/>
      <c r="D10" s="5" t="s">
        <v>65</v>
      </c>
      <c r="E10" s="5"/>
      <c r="F10" s="5"/>
      <c r="G10" s="5"/>
      <c r="H10" s="5"/>
      <c r="O10" s="15" t="s">
        <v>66</v>
      </c>
      <c r="P10" s="53" t="n">
        <f aca="false">-1*(0.00000000001*(8000+P8)*LN(1/2047))</f>
        <v>1.37234350541903E-006</v>
      </c>
      <c r="R10" s="54" t="s">
        <v>67</v>
      </c>
      <c r="S10" s="54"/>
      <c r="U10" s="28" t="n">
        <v>7</v>
      </c>
      <c r="V10" s="29" t="s">
        <v>68</v>
      </c>
      <c r="W10" s="30" t="s">
        <v>69</v>
      </c>
      <c r="X10" s="31" t="n">
        <v>0</v>
      </c>
      <c r="Y10" s="29" t="n">
        <v>1</v>
      </c>
      <c r="Z10" s="29" t="s">
        <v>70</v>
      </c>
      <c r="AA10" s="55" t="s">
        <v>71</v>
      </c>
    </row>
    <row r="11" customFormat="false" ht="15" hidden="false" customHeight="false" outlineLevel="0" collapsed="false">
      <c r="A11" s="9" t="s">
        <v>72</v>
      </c>
      <c r="B11" s="56" t="n">
        <v>1</v>
      </c>
      <c r="D11" s="12" t="s">
        <v>18</v>
      </c>
      <c r="E11" s="13" t="n">
        <v>16000000</v>
      </c>
      <c r="F11" s="25"/>
      <c r="G11" s="25"/>
      <c r="H11" s="25"/>
      <c r="O11" s="15" t="s">
        <v>73</v>
      </c>
      <c r="P11" s="44" t="n">
        <f aca="false">(P9-25)*0.00000005</f>
        <v>1.25E-006</v>
      </c>
      <c r="R11" s="12" t="s">
        <v>74</v>
      </c>
      <c r="S11" s="57" t="n">
        <v>5</v>
      </c>
      <c r="U11" s="28" t="n">
        <v>8</v>
      </c>
      <c r="V11" s="29" t="s">
        <v>75</v>
      </c>
      <c r="W11" s="30" t="s">
        <v>76</v>
      </c>
      <c r="X11" s="31" t="n">
        <v>1</v>
      </c>
      <c r="Y11" s="29" t="n">
        <v>1</v>
      </c>
      <c r="Z11" s="29" t="s">
        <v>77</v>
      </c>
      <c r="AA11" s="30" t="s">
        <v>78</v>
      </c>
    </row>
    <row r="12" customFormat="false" ht="29.85" hidden="false" customHeight="false" outlineLevel="0" collapsed="false">
      <c r="A12" s="9" t="s">
        <v>79</v>
      </c>
      <c r="B12" s="56" t="n">
        <v>2</v>
      </c>
      <c r="D12" s="23" t="s">
        <v>29</v>
      </c>
      <c r="E12" s="24" t="n">
        <v>1</v>
      </c>
      <c r="F12" s="24" t="n">
        <v>2</v>
      </c>
      <c r="G12" s="24" t="n">
        <v>4</v>
      </c>
      <c r="H12" s="25" t="n">
        <v>8</v>
      </c>
      <c r="O12" s="35" t="s">
        <v>80</v>
      </c>
      <c r="P12" s="58" t="n">
        <f aca="false">P7+P10+P11</f>
        <v>4.62234350541903E-006</v>
      </c>
      <c r="R12" s="12" t="s">
        <v>81</v>
      </c>
      <c r="S12" s="59" t="n">
        <v>8</v>
      </c>
      <c r="U12" s="28" t="n">
        <v>9</v>
      </c>
      <c r="V12" s="29" t="s">
        <v>82</v>
      </c>
      <c r="W12" s="30" t="s">
        <v>83</v>
      </c>
      <c r="X12" s="31" t="n">
        <v>1</v>
      </c>
      <c r="Y12" s="29" t="n">
        <v>1</v>
      </c>
      <c r="Z12" s="29" t="s">
        <v>77</v>
      </c>
      <c r="AA12" s="30" t="s">
        <v>84</v>
      </c>
    </row>
    <row r="13" customFormat="false" ht="16.25" hidden="false" customHeight="false" outlineLevel="0" collapsed="false">
      <c r="A13" s="9" t="s">
        <v>85</v>
      </c>
      <c r="B13" s="60" t="n">
        <f aca="false">((HEX2DEC(B8)+1)*B11)/B3</f>
        <v>5E-006</v>
      </c>
      <c r="D13" s="12" t="s">
        <v>37</v>
      </c>
      <c r="E13" s="33" t="n">
        <f aca="false">$E$11/E12</f>
        <v>16000000</v>
      </c>
      <c r="F13" s="33" t="n">
        <f aca="false">$E$11/F12</f>
        <v>8000000</v>
      </c>
      <c r="G13" s="33" t="n">
        <f aca="false">$E$11/G12</f>
        <v>4000000</v>
      </c>
      <c r="H13" s="33" t="n">
        <f aca="false">$E$11/H12</f>
        <v>2000000</v>
      </c>
      <c r="I13" s="61"/>
      <c r="O13" s="15"/>
      <c r="P13" s="40"/>
      <c r="R13" s="12" t="s">
        <v>86</v>
      </c>
      <c r="S13" s="62" t="str">
        <f aca="false">"0x"&amp;DEC2HEX(S12,2)</f>
        <v>0x08</v>
      </c>
      <c r="U13" s="28" t="n">
        <v>10</v>
      </c>
      <c r="V13" s="29" t="s">
        <v>87</v>
      </c>
      <c r="W13" s="30" t="s">
        <v>33</v>
      </c>
      <c r="X13" s="31" t="n">
        <v>0</v>
      </c>
      <c r="Y13" s="29" t="n">
        <v>0</v>
      </c>
      <c r="Z13" s="29" t="s">
        <v>88</v>
      </c>
      <c r="AA13" s="30" t="s">
        <v>89</v>
      </c>
    </row>
    <row r="14" customFormat="false" ht="15" hidden="false" customHeight="false" outlineLevel="0" collapsed="false">
      <c r="A14" s="9" t="s">
        <v>90</v>
      </c>
      <c r="B14" s="63" t="n">
        <f aca="false">1/B13</f>
        <v>200000</v>
      </c>
      <c r="D14" s="12" t="s">
        <v>43</v>
      </c>
      <c r="E14" s="38" t="n">
        <f aca="false">1/E13</f>
        <v>6.25E-008</v>
      </c>
      <c r="F14" s="38" t="n">
        <f aca="false">1/F13</f>
        <v>1.25E-007</v>
      </c>
      <c r="G14" s="38" t="n">
        <f aca="false">1/G13</f>
        <v>2.5E-007</v>
      </c>
      <c r="H14" s="39" t="n">
        <f aca="false">1/H13</f>
        <v>5E-007</v>
      </c>
      <c r="I14" s="61"/>
      <c r="J14" s="47"/>
      <c r="K14" s="47"/>
      <c r="L14" s="61"/>
      <c r="O14" s="64" t="s">
        <v>91</v>
      </c>
      <c r="P14" s="65" t="n">
        <f aca="false">P5+P12</f>
        <v>1.6622343505419E-005</v>
      </c>
      <c r="R14" s="66" t="s">
        <v>92</v>
      </c>
      <c r="S14" s="67" t="n">
        <f aca="false">S11*S12/32</f>
        <v>1.25</v>
      </c>
      <c r="U14" s="28" t="n">
        <v>11</v>
      </c>
      <c r="V14" s="29" t="s">
        <v>93</v>
      </c>
      <c r="W14" s="30" t="s">
        <v>33</v>
      </c>
      <c r="X14" s="31" t="n">
        <v>0</v>
      </c>
      <c r="Y14" s="29" t="n">
        <v>0</v>
      </c>
      <c r="Z14" s="29" t="s">
        <v>94</v>
      </c>
      <c r="AA14" s="30" t="s">
        <v>95</v>
      </c>
    </row>
    <row r="15" customFormat="false" ht="28.75" hidden="false" customHeight="false" outlineLevel="0" collapsed="false">
      <c r="A15" s="9" t="s">
        <v>96</v>
      </c>
      <c r="B15" s="68" t="n">
        <f aca="false">(HEX2DEC(B9)-HEX2DEC(B10))/(HEX2DEC(B8)+1)</f>
        <v>0.9</v>
      </c>
      <c r="C15" s="47"/>
      <c r="D15" s="23" t="s">
        <v>48</v>
      </c>
      <c r="E15" s="38" t="n">
        <f aca="false">E14*256</f>
        <v>1.6E-005</v>
      </c>
      <c r="F15" s="38" t="n">
        <f aca="false">F14*65536</f>
        <v>0.008192</v>
      </c>
      <c r="G15" s="38" t="n">
        <f aca="false">G14*65536</f>
        <v>0.016384</v>
      </c>
      <c r="H15" s="38" t="n">
        <f aca="false">H14*65536</f>
        <v>0.032768</v>
      </c>
      <c r="U15" s="28" t="n">
        <v>12</v>
      </c>
      <c r="V15" s="29" t="s">
        <v>97</v>
      </c>
      <c r="W15" s="30" t="s">
        <v>98</v>
      </c>
      <c r="X15" s="31" t="n">
        <v>0</v>
      </c>
      <c r="Y15" s="29" t="n">
        <v>0</v>
      </c>
      <c r="Z15" s="29" t="s">
        <v>99</v>
      </c>
      <c r="AA15" s="30" t="s">
        <v>100</v>
      </c>
    </row>
    <row r="16" customFormat="false" ht="15" hidden="false" customHeight="false" outlineLevel="0" collapsed="false">
      <c r="A16" s="9" t="s">
        <v>101</v>
      </c>
      <c r="B16" s="69" t="n">
        <f aca="false">4.6/5</f>
        <v>0.92</v>
      </c>
      <c r="D16" s="48" t="s">
        <v>54</v>
      </c>
      <c r="E16" s="70" t="n">
        <f aca="false">1/E15</f>
        <v>62500</v>
      </c>
      <c r="F16" s="70" t="n">
        <f aca="false">1/F15</f>
        <v>122.0703125</v>
      </c>
      <c r="G16" s="70" t="n">
        <f aca="false">1/G15</f>
        <v>61.03515625</v>
      </c>
      <c r="H16" s="71" t="n">
        <f aca="false">1/H15</f>
        <v>30.517578125</v>
      </c>
      <c r="U16" s="28" t="n">
        <v>13</v>
      </c>
      <c r="V16" s="29" t="s">
        <v>102</v>
      </c>
      <c r="W16" s="30" t="s">
        <v>103</v>
      </c>
      <c r="X16" s="31" t="n">
        <v>1</v>
      </c>
      <c r="Y16" s="29" t="n">
        <v>1</v>
      </c>
      <c r="Z16" s="29" t="s">
        <v>104</v>
      </c>
      <c r="AA16" s="30" t="s">
        <v>105</v>
      </c>
    </row>
    <row r="17" customFormat="false" ht="15" hidden="false" customHeight="false" outlineLevel="0" collapsed="false">
      <c r="A17" s="9" t="s">
        <v>106</v>
      </c>
      <c r="B17" s="72" t="str">
        <f aca="false">DEC2HEX(HEX2DEC(B10)+(B16*HEX2DEC(B8)),4)</f>
        <v>0048</v>
      </c>
      <c r="C17" s="73"/>
      <c r="O17" s="6" t="s">
        <v>107</v>
      </c>
      <c r="P17" s="6"/>
      <c r="R17" s="54" t="s">
        <v>108</v>
      </c>
      <c r="S17" s="54"/>
      <c r="U17" s="28" t="n">
        <v>14</v>
      </c>
      <c r="V17" s="29" t="s">
        <v>109</v>
      </c>
      <c r="W17" s="30" t="s">
        <v>110</v>
      </c>
      <c r="X17" s="31" t="n">
        <v>0</v>
      </c>
      <c r="Y17" s="29" t="n">
        <v>1</v>
      </c>
      <c r="Z17" s="29" t="s">
        <v>111</v>
      </c>
      <c r="AA17" s="30" t="s">
        <v>112</v>
      </c>
    </row>
    <row r="18" customFormat="false" ht="16.25" hidden="false" customHeight="true" outlineLevel="0" collapsed="false">
      <c r="A18" s="9" t="s">
        <v>113</v>
      </c>
      <c r="B18" s="74" t="n">
        <v>200000</v>
      </c>
      <c r="D18" s="5" t="s">
        <v>114</v>
      </c>
      <c r="E18" s="5"/>
      <c r="F18" s="5"/>
      <c r="G18" s="5"/>
      <c r="H18" s="5"/>
      <c r="I18" s="5"/>
      <c r="J18" s="5"/>
      <c r="K18" s="5"/>
      <c r="L18" s="5"/>
      <c r="O18" s="15" t="s">
        <v>115</v>
      </c>
      <c r="P18" s="75" t="n">
        <v>25</v>
      </c>
      <c r="R18" s="12" t="s">
        <v>74</v>
      </c>
      <c r="S18" s="57" t="n">
        <f aca="false">1.024*4</f>
        <v>4.096</v>
      </c>
      <c r="U18" s="28" t="n">
        <v>15</v>
      </c>
      <c r="V18" s="29" t="s">
        <v>116</v>
      </c>
      <c r="W18" s="30" t="s">
        <v>117</v>
      </c>
      <c r="X18" s="31" t="n">
        <v>1</v>
      </c>
      <c r="Y18" s="29" t="n">
        <v>1</v>
      </c>
      <c r="Z18" s="29" t="s">
        <v>118</v>
      </c>
      <c r="AA18" s="30" t="s">
        <v>119</v>
      </c>
    </row>
    <row r="19" customFormat="false" ht="16.25" hidden="false" customHeight="false" outlineLevel="0" collapsed="false">
      <c r="A19" s="9" t="s">
        <v>120</v>
      </c>
      <c r="B19" s="21" t="n">
        <f aca="false">1/B18</f>
        <v>5E-006</v>
      </c>
      <c r="D19" s="12" t="s">
        <v>18</v>
      </c>
      <c r="E19" s="13" t="n">
        <v>4000000</v>
      </c>
      <c r="F19" s="25"/>
      <c r="G19" s="25"/>
      <c r="H19" s="25"/>
      <c r="I19" s="25"/>
      <c r="J19" s="25"/>
      <c r="K19" s="25"/>
      <c r="L19" s="25"/>
      <c r="O19" s="15" t="s">
        <v>121</v>
      </c>
      <c r="P19" s="76" t="n">
        <v>0.01</v>
      </c>
      <c r="R19" s="12" t="s">
        <v>81</v>
      </c>
      <c r="S19" s="59" t="n">
        <v>863</v>
      </c>
      <c r="U19" s="28" t="n">
        <v>16</v>
      </c>
      <c r="V19" s="29" t="s">
        <v>122</v>
      </c>
      <c r="W19" s="30" t="s">
        <v>123</v>
      </c>
      <c r="X19" s="31" t="n">
        <v>1</v>
      </c>
      <c r="Y19" s="29" t="n">
        <v>1</v>
      </c>
      <c r="Z19" s="29" t="s">
        <v>77</v>
      </c>
      <c r="AA19" s="30" t="s">
        <v>92</v>
      </c>
    </row>
    <row r="20" customFormat="false" ht="28.75" hidden="false" customHeight="false" outlineLevel="0" collapsed="false">
      <c r="A20" s="77" t="s">
        <v>124</v>
      </c>
      <c r="B20" s="78" t="str">
        <f aca="false">DEC2HEX((((B19*B3)/B11)-1),4)</f>
        <v>004F</v>
      </c>
      <c r="D20" s="23" t="s">
        <v>29</v>
      </c>
      <c r="E20" s="24" t="n">
        <v>1</v>
      </c>
      <c r="F20" s="24" t="n">
        <v>2</v>
      </c>
      <c r="G20" s="24" t="n">
        <v>4</v>
      </c>
      <c r="H20" s="24" t="n">
        <v>8</v>
      </c>
      <c r="I20" s="24" t="n">
        <v>16</v>
      </c>
      <c r="J20" s="24" t="n">
        <v>32</v>
      </c>
      <c r="K20" s="24" t="n">
        <v>64</v>
      </c>
      <c r="L20" s="25" t="n">
        <v>128</v>
      </c>
      <c r="O20" s="15" t="s">
        <v>125</v>
      </c>
      <c r="P20" s="76" t="n">
        <v>0.5</v>
      </c>
      <c r="R20" s="12" t="s">
        <v>86</v>
      </c>
      <c r="S20" s="62" t="str">
        <f aca="false">"0x"&amp;DEC2HEX(S19,4)</f>
        <v>0x035F</v>
      </c>
      <c r="U20" s="28" t="n">
        <v>17</v>
      </c>
      <c r="V20" s="29" t="s">
        <v>126</v>
      </c>
      <c r="W20" s="30" t="s">
        <v>127</v>
      </c>
      <c r="X20" s="31" t="n">
        <v>1</v>
      </c>
      <c r="Y20" s="29" t="n">
        <v>1</v>
      </c>
      <c r="Z20" s="29" t="s">
        <v>77</v>
      </c>
      <c r="AA20" s="30" t="s">
        <v>128</v>
      </c>
    </row>
    <row r="21" customFormat="false" ht="16.25" hidden="false" customHeight="false" outlineLevel="0" collapsed="false">
      <c r="D21" s="12" t="s">
        <v>37</v>
      </c>
      <c r="E21" s="33" t="n">
        <f aca="false">$E$19/E20</f>
        <v>4000000</v>
      </c>
      <c r="F21" s="33" t="n">
        <f aca="false">$E$19/F20</f>
        <v>2000000</v>
      </c>
      <c r="G21" s="33" t="n">
        <f aca="false">$E$19/G20</f>
        <v>1000000</v>
      </c>
      <c r="H21" s="33" t="n">
        <f aca="false">$E$19/H20</f>
        <v>500000</v>
      </c>
      <c r="I21" s="33" t="n">
        <f aca="false">$E$19/I20</f>
        <v>250000</v>
      </c>
      <c r="J21" s="33" t="n">
        <f aca="false">$E$19/J20</f>
        <v>125000</v>
      </c>
      <c r="K21" s="33" t="n">
        <f aca="false">$E$19/K20</f>
        <v>62500</v>
      </c>
      <c r="L21" s="34" t="n">
        <f aca="false">$E$19/L20</f>
        <v>31250</v>
      </c>
      <c r="O21" s="41" t="s">
        <v>129</v>
      </c>
      <c r="P21" s="79" t="n">
        <f aca="false">(P19*P18)+P20</f>
        <v>0.75</v>
      </c>
      <c r="R21" s="66" t="s">
        <v>92</v>
      </c>
      <c r="S21" s="67" t="n">
        <f aca="false">S18*S19/1024</f>
        <v>3.452</v>
      </c>
      <c r="U21" s="28" t="n">
        <v>18</v>
      </c>
      <c r="V21" s="29" t="s">
        <v>130</v>
      </c>
      <c r="W21" s="30" t="s">
        <v>131</v>
      </c>
      <c r="X21" s="31" t="n">
        <v>0</v>
      </c>
      <c r="Y21" s="29" t="n">
        <v>0</v>
      </c>
      <c r="Z21" s="29" t="s">
        <v>132</v>
      </c>
      <c r="AA21" s="30" t="s">
        <v>133</v>
      </c>
    </row>
    <row r="22" customFormat="false" ht="15" hidden="false" customHeight="false" outlineLevel="0" collapsed="false">
      <c r="D22" s="12" t="s">
        <v>43</v>
      </c>
      <c r="E22" s="38" t="n">
        <f aca="false">1/E21</f>
        <v>2.5E-007</v>
      </c>
      <c r="F22" s="38" t="n">
        <f aca="false">1/F21</f>
        <v>5E-007</v>
      </c>
      <c r="G22" s="38" t="n">
        <f aca="false">1/G21</f>
        <v>1E-006</v>
      </c>
      <c r="H22" s="38" t="n">
        <f aca="false">1/H21</f>
        <v>2E-006</v>
      </c>
      <c r="I22" s="38" t="n">
        <f aca="false">1/I21</f>
        <v>4E-006</v>
      </c>
      <c r="J22" s="38" t="n">
        <f aca="false">1/J21</f>
        <v>8E-006</v>
      </c>
      <c r="K22" s="38" t="n">
        <f aca="false">1/K21</f>
        <v>1.6E-005</v>
      </c>
      <c r="L22" s="39" t="n">
        <f aca="false">1/L21</f>
        <v>3.2E-005</v>
      </c>
      <c r="U22" s="28" t="n">
        <v>19</v>
      </c>
      <c r="V22" s="29" t="s">
        <v>134</v>
      </c>
      <c r="W22" s="30" t="s">
        <v>135</v>
      </c>
      <c r="X22" s="31" t="n">
        <v>1</v>
      </c>
      <c r="Y22" s="29" t="n">
        <v>0</v>
      </c>
      <c r="Z22" s="29" t="s">
        <v>132</v>
      </c>
      <c r="AA22" s="30" t="s">
        <v>136</v>
      </c>
    </row>
    <row r="23" customFormat="false" ht="29.85" hidden="false" customHeight="false" outlineLevel="0" collapsed="false">
      <c r="A23" s="54" t="s">
        <v>137</v>
      </c>
      <c r="B23" s="54"/>
      <c r="D23" s="23" t="s">
        <v>48</v>
      </c>
      <c r="E23" s="38" t="n">
        <f aca="false">E22*256</f>
        <v>6.4E-005</v>
      </c>
      <c r="F23" s="38" t="n">
        <f aca="false">F22*256</f>
        <v>0.000128</v>
      </c>
      <c r="G23" s="38" t="n">
        <f aca="false">G22*256</f>
        <v>0.000256</v>
      </c>
      <c r="H23" s="38" t="n">
        <f aca="false">H22*256</f>
        <v>0.000512</v>
      </c>
      <c r="I23" s="38" t="n">
        <f aca="false">I22*256</f>
        <v>0.001024</v>
      </c>
      <c r="J23" s="38" t="n">
        <f aca="false">J22*256</f>
        <v>0.002048</v>
      </c>
      <c r="K23" s="38" t="n">
        <f aca="false">K22*256</f>
        <v>0.004096</v>
      </c>
      <c r="L23" s="38" t="n">
        <f aca="false">L22*256</f>
        <v>0.008192</v>
      </c>
      <c r="U23" s="80" t="n">
        <v>20</v>
      </c>
      <c r="V23" s="81" t="s">
        <v>138</v>
      </c>
      <c r="W23" s="82" t="s">
        <v>33</v>
      </c>
      <c r="X23" s="83" t="s">
        <v>34</v>
      </c>
      <c r="Y23" s="81" t="s">
        <v>35</v>
      </c>
      <c r="Z23" s="81" t="s">
        <v>138</v>
      </c>
      <c r="AA23" s="82" t="s">
        <v>138</v>
      </c>
    </row>
    <row r="24" customFormat="false" ht="15" hidden="false" customHeight="false" outlineLevel="0" collapsed="false">
      <c r="A24" s="84" t="s">
        <v>139</v>
      </c>
      <c r="B24" s="85" t="n">
        <v>16000000</v>
      </c>
      <c r="D24" s="12" t="s">
        <v>140</v>
      </c>
      <c r="E24" s="86" t="n">
        <v>185</v>
      </c>
      <c r="F24" s="86" t="n">
        <v>185</v>
      </c>
      <c r="G24" s="86" t="n">
        <v>255</v>
      </c>
      <c r="H24" s="86" t="n">
        <v>250</v>
      </c>
      <c r="I24" s="86" t="n">
        <v>250</v>
      </c>
      <c r="J24" s="86" t="n">
        <v>255</v>
      </c>
      <c r="K24" s="86" t="n">
        <v>255</v>
      </c>
      <c r="L24" s="87" t="n">
        <v>255</v>
      </c>
    </row>
    <row r="25" customFormat="false" ht="29.85" hidden="false" customHeight="false" outlineLevel="0" collapsed="false">
      <c r="A25" s="84" t="s">
        <v>28</v>
      </c>
      <c r="B25" s="88" t="n">
        <f aca="false">1/B24</f>
        <v>6.25E-008</v>
      </c>
      <c r="D25" s="23" t="s">
        <v>141</v>
      </c>
      <c r="E25" s="38" t="n">
        <f aca="false">(E24*E22)</f>
        <v>4.625E-005</v>
      </c>
      <c r="F25" s="38" t="n">
        <f aca="false">(F24*F22)</f>
        <v>9.25E-005</v>
      </c>
      <c r="G25" s="38" t="n">
        <f aca="false">(G24*G22)</f>
        <v>0.000255</v>
      </c>
      <c r="H25" s="38" t="n">
        <f aca="false">(H24*H22)</f>
        <v>0.0005</v>
      </c>
      <c r="I25" s="38" t="n">
        <f aca="false">(I24*I22)</f>
        <v>0.001</v>
      </c>
      <c r="J25" s="38" t="n">
        <f aca="false">(J24*J22)</f>
        <v>0.00204</v>
      </c>
      <c r="K25" s="38" t="n">
        <f aca="false">(K24*K22)</f>
        <v>0.00408</v>
      </c>
      <c r="L25" s="39" t="n">
        <f aca="false">(L24*L22)</f>
        <v>0.00816</v>
      </c>
    </row>
    <row r="26" customFormat="false" ht="29.85" hidden="false" customHeight="false" outlineLevel="0" collapsed="false">
      <c r="A26" s="84" t="s">
        <v>36</v>
      </c>
      <c r="B26" s="89" t="n">
        <f aca="false">B24/4</f>
        <v>4000000</v>
      </c>
      <c r="D26" s="23" t="s">
        <v>142</v>
      </c>
      <c r="E26" s="86" t="n">
        <v>2</v>
      </c>
      <c r="F26" s="86" t="n">
        <v>1</v>
      </c>
      <c r="G26" s="86" t="n">
        <v>1</v>
      </c>
      <c r="H26" s="86" t="n">
        <v>1</v>
      </c>
      <c r="I26" s="86" t="n">
        <v>1</v>
      </c>
      <c r="J26" s="86" t="n">
        <v>1</v>
      </c>
      <c r="K26" s="86" t="n">
        <v>1</v>
      </c>
      <c r="L26" s="87" t="n">
        <v>1</v>
      </c>
    </row>
    <row r="27" customFormat="false" ht="29.85" hidden="false" customHeight="false" outlineLevel="0" collapsed="false">
      <c r="A27" s="84" t="s">
        <v>42</v>
      </c>
      <c r="B27" s="88" t="n">
        <f aca="false">1/B26</f>
        <v>2.5E-007</v>
      </c>
      <c r="D27" s="23" t="s">
        <v>143</v>
      </c>
      <c r="E27" s="38" t="n">
        <f aca="false">E25*E26</f>
        <v>9.25E-005</v>
      </c>
      <c r="F27" s="38" t="n">
        <f aca="false">F25*F26</f>
        <v>9.25E-005</v>
      </c>
      <c r="G27" s="38" t="n">
        <f aca="false">G25*G26</f>
        <v>0.000255</v>
      </c>
      <c r="H27" s="38" t="n">
        <f aca="false">H25*H26</f>
        <v>0.0005</v>
      </c>
      <c r="I27" s="38" t="n">
        <f aca="false">I25*I26</f>
        <v>0.001</v>
      </c>
      <c r="J27" s="38" t="n">
        <f aca="false">J25*J26</f>
        <v>0.00204</v>
      </c>
      <c r="K27" s="38" t="n">
        <f aca="false">K25*K26</f>
        <v>0.00408</v>
      </c>
      <c r="L27" s="39" t="n">
        <f aca="false">L25*L26</f>
        <v>0.00816</v>
      </c>
    </row>
    <row r="28" customFormat="false" ht="15.65" hidden="false" customHeight="false" outlineLevel="0" collapsed="false">
      <c r="A28" s="84" t="s">
        <v>144</v>
      </c>
      <c r="B28" s="90" t="n">
        <f aca="false">B32/B27</f>
        <v>40</v>
      </c>
      <c r="D28" s="48" t="s">
        <v>54</v>
      </c>
      <c r="E28" s="91" t="n">
        <f aca="false">1/E27</f>
        <v>10810.8108108108</v>
      </c>
      <c r="F28" s="91" t="n">
        <f aca="false">1/F27</f>
        <v>10810.8108108108</v>
      </c>
      <c r="G28" s="91" t="n">
        <f aca="false">1/G27</f>
        <v>3921.56862745098</v>
      </c>
      <c r="H28" s="91" t="n">
        <f aca="false">1/H27</f>
        <v>2000</v>
      </c>
      <c r="I28" s="91" t="n">
        <f aca="false">1/I27</f>
        <v>1000</v>
      </c>
      <c r="J28" s="91" t="n">
        <f aca="false">1/J27</f>
        <v>490.196078431373</v>
      </c>
      <c r="K28" s="91" t="n">
        <f aca="false">1/K27</f>
        <v>245.098039215686</v>
      </c>
      <c r="L28" s="92" t="n">
        <f aca="false">1/L27</f>
        <v>122.549019607843</v>
      </c>
    </row>
    <row r="29" customFormat="false" ht="15" hidden="false" customHeight="false" outlineLevel="0" collapsed="false">
      <c r="A29" s="84" t="s">
        <v>145</v>
      </c>
      <c r="B29" s="93" t="s">
        <v>146</v>
      </c>
    </row>
    <row r="30" customFormat="false" ht="15" hidden="false" customHeight="false" outlineLevel="0" collapsed="false">
      <c r="A30" s="84" t="s">
        <v>72</v>
      </c>
      <c r="B30" s="94" t="n">
        <v>1</v>
      </c>
      <c r="S30" s="95"/>
    </row>
    <row r="31" customFormat="false" ht="15" hidden="false" customHeight="false" outlineLevel="0" collapsed="false">
      <c r="A31" s="84" t="s">
        <v>79</v>
      </c>
      <c r="B31" s="94" t="n">
        <v>2</v>
      </c>
    </row>
    <row r="32" customFormat="false" ht="15" hidden="false" customHeight="false" outlineLevel="0" collapsed="false">
      <c r="A32" s="84" t="s">
        <v>147</v>
      </c>
      <c r="B32" s="96" t="n">
        <f aca="false">(HEX2DEC(B29)+1)*4*B25*B30</f>
        <v>1E-005</v>
      </c>
    </row>
    <row r="33" customFormat="false" ht="15" hidden="false" customHeight="false" outlineLevel="0" collapsed="false">
      <c r="A33" s="84" t="s">
        <v>148</v>
      </c>
      <c r="B33" s="97" t="n">
        <f aca="false">1/B32</f>
        <v>100000</v>
      </c>
    </row>
    <row r="34" customFormat="false" ht="15" hidden="false" customHeight="false" outlineLevel="0" collapsed="false">
      <c r="A34" s="84" t="s">
        <v>149</v>
      </c>
      <c r="B34" s="98" t="n">
        <f aca="false">ROUND(((LOG10(4*(HEX2DEC(B29)+1)))/LOG10(2)),0)</f>
        <v>7</v>
      </c>
    </row>
    <row r="35" customFormat="false" ht="15" hidden="false" customHeight="false" outlineLevel="0" collapsed="false">
      <c r="A35" s="84" t="s">
        <v>150</v>
      </c>
      <c r="B35" s="99" t="n">
        <f aca="false">POWER(2,B34)-B31</f>
        <v>126</v>
      </c>
    </row>
    <row r="36" customFormat="false" ht="15" hidden="false" customHeight="false" outlineLevel="0" collapsed="false">
      <c r="A36" s="84" t="s">
        <v>151</v>
      </c>
      <c r="B36" s="93" t="s">
        <v>152</v>
      </c>
    </row>
    <row r="37" customFormat="false" ht="15" hidden="false" customHeight="false" outlineLevel="0" collapsed="false">
      <c r="A37" s="84" t="s">
        <v>153</v>
      </c>
      <c r="B37" s="100" t="n">
        <f aca="false">HEX2DEC(B36)*B25*B30</f>
        <v>1E-006</v>
      </c>
    </row>
    <row r="38" customFormat="false" ht="15" hidden="false" customHeight="false" outlineLevel="0" collapsed="false">
      <c r="A38" s="101" t="s">
        <v>154</v>
      </c>
      <c r="B38" s="102" t="n">
        <f aca="false">B37/B32</f>
        <v>0.1</v>
      </c>
    </row>
  </sheetData>
  <mergeCells count="15">
    <mergeCell ref="A2:B2"/>
    <mergeCell ref="D2:M2"/>
    <mergeCell ref="O2:P2"/>
    <mergeCell ref="R2:S2"/>
    <mergeCell ref="U2:W2"/>
    <mergeCell ref="X2:AA2"/>
    <mergeCell ref="F3:M3"/>
    <mergeCell ref="D10:H10"/>
    <mergeCell ref="R10:S10"/>
    <mergeCell ref="F11:H11"/>
    <mergeCell ref="O17:P17"/>
    <mergeCell ref="R17:S17"/>
    <mergeCell ref="D18:L18"/>
    <mergeCell ref="F19:L19"/>
    <mergeCell ref="A23:B23"/>
  </mergeCells>
  <dataValidations count="1">
    <dataValidation allowBlank="true" operator="between" showDropDown="false" showErrorMessage="true" showInputMessage="true" sqref="B11" type="list">
      <formula1>#ref!</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P44"/>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6" zeroHeight="false" outlineLevelRow="0" outlineLevelCol="0"/>
  <cols>
    <col collapsed="false" customWidth="true" hidden="false" outlineLevel="0" max="1" min="1" style="0" width="10.49"/>
    <col collapsed="false" customWidth="true" hidden="false" outlineLevel="0" max="2" min="2" style="0" width="50.83"/>
    <col collapsed="false" customWidth="true" hidden="false" outlineLevel="0" max="3" min="3" style="0" width="22.34"/>
    <col collapsed="false" customWidth="true" hidden="false" outlineLevel="0" max="4" min="4" style="0" width="12.16"/>
    <col collapsed="false" customWidth="true" hidden="false" outlineLevel="0" max="5" min="5" style="0" width="12"/>
    <col collapsed="false" customWidth="true" hidden="false" outlineLevel="0" max="9" min="6" style="0" width="10.49"/>
    <col collapsed="false" customWidth="true" hidden="false" outlineLevel="0" max="10" min="10" style="0" width="23"/>
    <col collapsed="false" customWidth="true" hidden="false" outlineLevel="0" max="11" min="11" style="0" width="20"/>
    <col collapsed="false" customWidth="true" hidden="false" outlineLevel="0" max="12" min="12" style="0" width="10.49"/>
    <col collapsed="false" customWidth="true" hidden="false" outlineLevel="0" max="13" min="13" style="0" width="16.84"/>
    <col collapsed="false" customWidth="true" hidden="false" outlineLevel="0" max="14" min="14" style="47" width="11.5"/>
    <col collapsed="false" customWidth="true" hidden="false" outlineLevel="0" max="15" min="15" style="0" width="10.49"/>
    <col collapsed="false" customWidth="true" hidden="false" outlineLevel="0" max="16" min="16" style="0" width="53"/>
    <col collapsed="false" customWidth="true" hidden="false" outlineLevel="0" max="1025" min="17" style="0" width="10.49"/>
  </cols>
  <sheetData>
    <row r="1" customFormat="false" ht="17" hidden="false" customHeight="false" outlineLevel="0" collapsed="false">
      <c r="A1" s="103"/>
      <c r="B1" s="104" t="s">
        <v>155</v>
      </c>
      <c r="C1" s="104" t="s">
        <v>156</v>
      </c>
      <c r="D1" s="105" t="s">
        <v>157</v>
      </c>
      <c r="E1" s="105"/>
      <c r="F1" s="105"/>
      <c r="G1" s="105"/>
      <c r="H1" s="105"/>
      <c r="J1" s="106" t="s">
        <v>158</v>
      </c>
      <c r="K1" s="106"/>
      <c r="M1" s="6" t="s">
        <v>159</v>
      </c>
      <c r="N1" s="6"/>
      <c r="O1" s="6"/>
      <c r="P1" s="6"/>
    </row>
    <row r="2" customFormat="false" ht="16" hidden="false" customHeight="true" outlineLevel="0" collapsed="false">
      <c r="A2" s="107" t="s">
        <v>160</v>
      </c>
      <c r="B2" s="108" t="s">
        <v>161</v>
      </c>
      <c r="C2" s="109" t="n">
        <v>24</v>
      </c>
      <c r="D2" s="110"/>
      <c r="E2" s="111"/>
      <c r="F2" s="111"/>
      <c r="G2" s="111"/>
      <c r="H2" s="111"/>
      <c r="J2" s="112" t="s">
        <v>162</v>
      </c>
      <c r="K2" s="113" t="n">
        <v>1</v>
      </c>
      <c r="M2" s="114" t="s">
        <v>163</v>
      </c>
      <c r="N2" s="115" t="s">
        <v>156</v>
      </c>
      <c r="O2" s="115"/>
      <c r="P2" s="116" t="s">
        <v>164</v>
      </c>
    </row>
    <row r="3" customFormat="false" ht="16" hidden="false" customHeight="false" outlineLevel="0" collapsed="false">
      <c r="A3" s="107"/>
      <c r="B3" s="117" t="s">
        <v>165</v>
      </c>
      <c r="C3" s="118" t="n">
        <v>10</v>
      </c>
      <c r="D3" s="119"/>
      <c r="E3" s="111"/>
      <c r="F3" s="111"/>
      <c r="G3" s="111"/>
      <c r="H3" s="111"/>
      <c r="J3" s="120" t="s">
        <v>166</v>
      </c>
      <c r="K3" s="121" t="n">
        <v>50</v>
      </c>
      <c r="L3" s="47"/>
      <c r="M3" s="120" t="s">
        <v>167</v>
      </c>
      <c r="N3" s="122" t="n">
        <v>100</v>
      </c>
      <c r="O3" s="123"/>
      <c r="P3" s="124"/>
    </row>
    <row r="4" customFormat="false" ht="18.65" hidden="false" customHeight="false" outlineLevel="0" collapsed="false">
      <c r="A4" s="107"/>
      <c r="B4" s="117" t="s">
        <v>168</v>
      </c>
      <c r="C4" s="118" t="n">
        <v>7</v>
      </c>
      <c r="D4" s="119"/>
      <c r="E4" s="111"/>
      <c r="F4" s="111"/>
      <c r="G4" s="111"/>
      <c r="H4" s="111"/>
      <c r="J4" s="120" t="s">
        <v>169</v>
      </c>
      <c r="K4" s="37" t="n">
        <v>10</v>
      </c>
      <c r="L4" s="47"/>
      <c r="M4" s="120" t="s">
        <v>170</v>
      </c>
      <c r="N4" s="122" t="n">
        <v>15</v>
      </c>
      <c r="O4" s="123"/>
      <c r="P4" s="124"/>
    </row>
    <row r="5" customFormat="false" ht="16" hidden="false" customHeight="false" outlineLevel="0" collapsed="false">
      <c r="A5" s="107"/>
      <c r="B5" s="117" t="s">
        <v>171</v>
      </c>
      <c r="C5" s="125" t="n">
        <v>0</v>
      </c>
      <c r="D5" s="119"/>
      <c r="E5" s="111"/>
      <c r="F5" s="111"/>
      <c r="G5" s="111"/>
      <c r="H5" s="111"/>
      <c r="J5" s="120" t="s">
        <v>172</v>
      </c>
      <c r="K5" s="126" t="n">
        <f aca="false">K2/K3</f>
        <v>0.02</v>
      </c>
      <c r="L5" s="47"/>
      <c r="M5" s="120" t="s">
        <v>173</v>
      </c>
      <c r="N5" s="127" t="n">
        <f aca="false">N3/N4</f>
        <v>6.66666666666667</v>
      </c>
      <c r="O5" s="123"/>
      <c r="P5" s="124"/>
    </row>
    <row r="6" customFormat="false" ht="19" hidden="false" customHeight="false" outlineLevel="0" collapsed="false">
      <c r="A6" s="107"/>
      <c r="B6" s="117" t="s">
        <v>174</v>
      </c>
      <c r="C6" s="128" t="n">
        <f aca="false">VLOOKUP(C2,[1]data!$A$5:$L$44,8,0)</f>
        <v>0.00205</v>
      </c>
      <c r="D6" s="129"/>
      <c r="E6" s="111"/>
      <c r="F6" s="111"/>
      <c r="G6" s="111"/>
      <c r="H6" s="111"/>
      <c r="J6" s="120" t="s">
        <v>175</v>
      </c>
      <c r="K6" s="126" t="n">
        <f aca="false">K5*K4</f>
        <v>0.2</v>
      </c>
      <c r="M6" s="120" t="s">
        <v>176</v>
      </c>
      <c r="N6" s="122" t="n">
        <v>13.8</v>
      </c>
      <c r="O6" s="123"/>
      <c r="P6" s="124"/>
    </row>
    <row r="7" customFormat="false" ht="15" hidden="false" customHeight="false" outlineLevel="0" collapsed="false">
      <c r="A7" s="107"/>
      <c r="B7" s="117" t="s">
        <v>177</v>
      </c>
      <c r="C7" s="130" t="n">
        <f aca="false">VLOOKUP(C2,[1]data!$A$5:$L$44,11,0)</f>
        <v>842.2</v>
      </c>
      <c r="D7" s="129"/>
      <c r="E7" s="111"/>
      <c r="F7" s="111"/>
      <c r="G7" s="111"/>
      <c r="H7" s="111"/>
      <c r="J7" s="120" t="s">
        <v>178</v>
      </c>
      <c r="K7" s="37" t="n">
        <v>10</v>
      </c>
      <c r="M7" s="120" t="s">
        <v>179</v>
      </c>
      <c r="N7" s="127" t="n">
        <f aca="false">N3/N6</f>
        <v>7.2463768115942</v>
      </c>
      <c r="O7" s="123"/>
      <c r="P7" s="124"/>
    </row>
    <row r="8" customFormat="false" ht="15" hidden="false" customHeight="false" outlineLevel="0" collapsed="false">
      <c r="A8" s="107"/>
      <c r="B8" s="131" t="s">
        <v>180</v>
      </c>
      <c r="C8" s="132" t="n">
        <f aca="false">VLOOKUP(C2,[1]data!$A$5:$L$44,4,0)</f>
        <v>0.577</v>
      </c>
      <c r="D8" s="133"/>
      <c r="E8" s="111"/>
      <c r="F8" s="111"/>
      <c r="G8" s="111"/>
      <c r="H8" s="111"/>
      <c r="J8" s="120" t="s">
        <v>181</v>
      </c>
      <c r="K8" s="134" t="n">
        <f aca="false">K6*K7</f>
        <v>2</v>
      </c>
      <c r="M8" s="135" t="s">
        <v>182</v>
      </c>
      <c r="N8" s="136" t="n">
        <f aca="false">N6/N7</f>
        <v>1.9044</v>
      </c>
      <c r="O8" s="123"/>
      <c r="P8" s="124" t="s">
        <v>183</v>
      </c>
    </row>
    <row r="9" customFormat="false" ht="16" hidden="false" customHeight="false" outlineLevel="0" collapsed="false">
      <c r="A9" s="107"/>
      <c r="B9" s="137" t="s">
        <v>184</v>
      </c>
      <c r="C9" s="138" t="s">
        <v>185</v>
      </c>
      <c r="D9" s="139"/>
      <c r="E9" s="111"/>
      <c r="F9" s="111"/>
      <c r="G9" s="111"/>
      <c r="H9" s="111"/>
      <c r="J9" s="135" t="s">
        <v>186</v>
      </c>
      <c r="K9" s="140" t="n">
        <f aca="false">K8/K4</f>
        <v>0.2</v>
      </c>
      <c r="M9" s="120" t="s">
        <v>187</v>
      </c>
      <c r="N9" s="141" t="n">
        <f aca="false">0.0000069</f>
        <v>6.9E-006</v>
      </c>
      <c r="O9" s="123"/>
      <c r="P9" s="124" t="s">
        <v>188</v>
      </c>
    </row>
    <row r="10" customFormat="false" ht="16" hidden="false" customHeight="false" outlineLevel="0" collapsed="false">
      <c r="A10" s="107"/>
      <c r="B10" s="117" t="s">
        <v>189</v>
      </c>
      <c r="C10" s="0" t="s">
        <v>190</v>
      </c>
      <c r="D10" s="129"/>
      <c r="E10" s="111"/>
      <c r="F10" s="111"/>
      <c r="G10" s="111"/>
      <c r="H10" s="111"/>
      <c r="J10" s="120" t="s">
        <v>191</v>
      </c>
      <c r="K10" s="126" t="n">
        <f aca="false">POWER(K6,2)*K7</f>
        <v>0.4</v>
      </c>
      <c r="M10" s="120" t="s">
        <v>192</v>
      </c>
      <c r="N10" s="142" t="n">
        <v>200000</v>
      </c>
      <c r="O10" s="123"/>
      <c r="P10" s="124"/>
    </row>
    <row r="11" customFormat="false" ht="16" hidden="false" customHeight="false" outlineLevel="0" collapsed="false">
      <c r="A11" s="107"/>
      <c r="B11" s="117" t="s">
        <v>193</v>
      </c>
      <c r="C11" s="143" t="n">
        <f aca="false">27.69/10</f>
        <v>2.769</v>
      </c>
      <c r="D11" s="144" t="n">
        <f aca="false">C11+(C5*2)</f>
        <v>2.769</v>
      </c>
      <c r="E11" s="111"/>
      <c r="F11" s="111"/>
      <c r="G11" s="111"/>
      <c r="H11" s="111"/>
      <c r="J11" s="120" t="s">
        <v>194</v>
      </c>
      <c r="K11" s="37" t="s">
        <v>195</v>
      </c>
      <c r="M11" s="135" t="s">
        <v>196</v>
      </c>
      <c r="N11" s="136" t="n">
        <f aca="false">N6/N4</f>
        <v>0.92</v>
      </c>
      <c r="O11" s="123"/>
      <c r="P11" s="124" t="s">
        <v>197</v>
      </c>
    </row>
    <row r="12" customFormat="false" ht="16" hidden="false" customHeight="false" outlineLevel="0" collapsed="false">
      <c r="A12" s="107"/>
      <c r="B12" s="117" t="s">
        <v>198</v>
      </c>
      <c r="C12" s="143" t="n">
        <f aca="false">14.1/10</f>
        <v>1.41</v>
      </c>
      <c r="D12" s="145" t="n">
        <f aca="false">C12-(C5*2)</f>
        <v>1.41</v>
      </c>
      <c r="E12" s="111"/>
      <c r="F12" s="111"/>
      <c r="G12" s="111"/>
      <c r="H12" s="111"/>
      <c r="J12" s="120" t="s">
        <v>199</v>
      </c>
      <c r="K12" s="37" t="s">
        <v>200</v>
      </c>
      <c r="M12" s="120" t="s">
        <v>201</v>
      </c>
      <c r="N12" s="146" t="n">
        <f aca="false">1/N10</f>
        <v>5E-006</v>
      </c>
      <c r="O12" s="123"/>
      <c r="P12" s="124"/>
    </row>
    <row r="13" customFormat="false" ht="20" hidden="false" customHeight="false" outlineLevel="0" collapsed="false">
      <c r="A13" s="107"/>
      <c r="B13" s="117" t="s">
        <v>202</v>
      </c>
      <c r="C13" s="143" t="n">
        <f aca="false">12/10</f>
        <v>1.2</v>
      </c>
      <c r="D13" s="145" t="n">
        <f aca="false">C13+(C5*2)</f>
        <v>1.2</v>
      </c>
      <c r="E13" s="111"/>
      <c r="F13" s="111"/>
      <c r="G13" s="111"/>
      <c r="H13" s="111"/>
      <c r="J13" s="120" t="s">
        <v>203</v>
      </c>
      <c r="K13" s="37" t="n">
        <v>12.23</v>
      </c>
      <c r="M13" s="120" t="s">
        <v>204</v>
      </c>
      <c r="N13" s="146" t="n">
        <f aca="false">N11*N12</f>
        <v>4.6E-006</v>
      </c>
      <c r="O13" s="123"/>
      <c r="P13" s="124"/>
    </row>
    <row r="14" customFormat="false" ht="18" hidden="false" customHeight="false" outlineLevel="0" collapsed="false">
      <c r="A14" s="107"/>
      <c r="B14" s="117" t="s">
        <v>205</v>
      </c>
      <c r="C14" s="147" t="n">
        <v>75</v>
      </c>
      <c r="D14" s="145"/>
      <c r="E14" s="111"/>
      <c r="F14" s="111"/>
      <c r="G14" s="111"/>
      <c r="H14" s="111"/>
      <c r="J14" s="120" t="s">
        <v>206</v>
      </c>
      <c r="K14" s="121" t="n">
        <v>5110</v>
      </c>
      <c r="M14" s="120" t="s">
        <v>207</v>
      </c>
      <c r="N14" s="146" t="n">
        <f aca="false">N12-N13</f>
        <v>4E-007</v>
      </c>
      <c r="O14" s="123"/>
      <c r="P14" s="124"/>
    </row>
    <row r="15" customFormat="false" ht="16" hidden="false" customHeight="false" outlineLevel="0" collapsed="false">
      <c r="A15" s="107"/>
      <c r="B15" s="131" t="s">
        <v>208</v>
      </c>
      <c r="C15" s="148" t="n">
        <v>0.08</v>
      </c>
      <c r="D15" s="149"/>
      <c r="E15" s="111"/>
      <c r="F15" s="111"/>
      <c r="G15" s="111"/>
      <c r="H15" s="111"/>
      <c r="J15" s="120" t="s">
        <v>209</v>
      </c>
      <c r="K15" s="150" t="n">
        <f aca="false">POWER(K3,2)*K14*POWER(10,-9)</f>
        <v>0.012775</v>
      </c>
      <c r="M15" s="120" t="s">
        <v>210</v>
      </c>
      <c r="N15" s="151" t="n">
        <f aca="false">((N6/N9)/POWER(10,6))</f>
        <v>2</v>
      </c>
      <c r="O15" s="123"/>
      <c r="P15" s="124" t="s">
        <v>211</v>
      </c>
    </row>
    <row r="16" customFormat="false" ht="16" hidden="false" customHeight="false" outlineLevel="0" collapsed="false">
      <c r="A16" s="107"/>
      <c r="B16" s="152" t="str">
        <f aca="false">"Design inductance, -"&amp;TEXT(C15,"#%")&amp;", H ="</f>
        <v>Design inductance, -8%, H =</v>
      </c>
      <c r="C16" s="153" t="n">
        <f aca="false">((C14*(1-C15))*POWER(10,-9))*POWER(C3,2)</f>
        <v>6.9E-006</v>
      </c>
      <c r="D16" s="154"/>
      <c r="E16" s="111"/>
      <c r="F16" s="111"/>
      <c r="G16" s="111"/>
      <c r="H16" s="111"/>
      <c r="J16" s="120" t="s">
        <v>212</v>
      </c>
      <c r="K16" s="150" t="n">
        <f aca="false">K8/K15</f>
        <v>156.555772994129</v>
      </c>
      <c r="M16" s="120" t="s">
        <v>213</v>
      </c>
      <c r="N16" s="151" t="n">
        <f aca="false">N15/2</f>
        <v>1</v>
      </c>
      <c r="O16" s="123"/>
      <c r="P16" s="124" t="s">
        <v>214</v>
      </c>
    </row>
    <row r="17" customFormat="false" ht="16" hidden="false" customHeight="false" outlineLevel="0" collapsed="false">
      <c r="A17" s="107"/>
      <c r="B17" s="117" t="s">
        <v>215</v>
      </c>
      <c r="C17" s="155" t="n">
        <f aca="false">PI()*D12</f>
        <v>4.42964564156161</v>
      </c>
      <c r="D17" s="129"/>
      <c r="E17" s="111"/>
      <c r="F17" s="111"/>
      <c r="G17" s="111"/>
      <c r="H17" s="111"/>
      <c r="J17" s="120" t="s">
        <v>216</v>
      </c>
      <c r="K17" s="156" t="n">
        <v>4.6E-006</v>
      </c>
      <c r="M17" s="120" t="s">
        <v>217</v>
      </c>
      <c r="N17" s="151" t="n">
        <f aca="false">$K$9*N15</f>
        <v>0.4</v>
      </c>
      <c r="O17" s="123"/>
      <c r="P17" s="124"/>
    </row>
    <row r="18" customFormat="false" ht="16" hidden="false" customHeight="false" outlineLevel="0" collapsed="false">
      <c r="A18" s="107"/>
      <c r="B18" s="157" t="str">
        <f aca="false">"Turns possible with "&amp;TEXT(C4,"#")&amp;" strands of "&amp;TEXT(C2,"#")&amp;" AWG ="</f>
        <v>Turns possible with 7 strands of 24 AWG =</v>
      </c>
      <c r="C18" s="155" t="n">
        <f aca="false">C17/((C8*C4)/10)</f>
        <v>10.9671840593256</v>
      </c>
      <c r="D18" s="129"/>
      <c r="E18" s="111"/>
      <c r="F18" s="111"/>
      <c r="G18" s="111"/>
      <c r="H18" s="111"/>
      <c r="J18" s="120" t="s">
        <v>218</v>
      </c>
      <c r="K18" s="158" t="n">
        <f aca="false">K17*K16</f>
        <v>0.000720156555772994</v>
      </c>
      <c r="M18" s="159" t="s">
        <v>219</v>
      </c>
      <c r="N18" s="160" t="n">
        <f aca="false">$K$9*N16</f>
        <v>0.2</v>
      </c>
      <c r="O18" s="123"/>
      <c r="P18" s="161" t="s">
        <v>220</v>
      </c>
    </row>
    <row r="19" customFormat="false" ht="16" hidden="false" customHeight="false" outlineLevel="0" collapsed="false">
      <c r="A19" s="107"/>
      <c r="B19" s="117" t="s">
        <v>221</v>
      </c>
      <c r="C19" s="162" t="n">
        <f aca="false">(D11-D12)+2*D13</f>
        <v>3.759</v>
      </c>
      <c r="D19" s="129"/>
      <c r="E19" s="111"/>
      <c r="F19" s="111"/>
      <c r="G19" s="111"/>
      <c r="H19" s="111"/>
      <c r="J19" s="120" t="s">
        <v>222</v>
      </c>
      <c r="K19" s="158" t="n">
        <f aca="false">K3*K18</f>
        <v>0.0360078277886497</v>
      </c>
      <c r="M19" s="120" t="s">
        <v>223</v>
      </c>
      <c r="N19" s="151" t="n">
        <f aca="false">(N14/POWER(10,-6))*N15</f>
        <v>0.799999999999999</v>
      </c>
      <c r="O19" s="123"/>
      <c r="P19" s="124" t="s">
        <v>224</v>
      </c>
    </row>
    <row r="20" customFormat="false" ht="16" hidden="false" customHeight="false" outlineLevel="0" collapsed="false">
      <c r="A20" s="107"/>
      <c r="B20" s="117" t="s">
        <v>225</v>
      </c>
      <c r="C20" s="163" t="n">
        <f aca="false">(C4*C8)/10</f>
        <v>0.4039</v>
      </c>
      <c r="D20" s="119"/>
      <c r="E20" s="111"/>
      <c r="F20" s="111"/>
      <c r="G20" s="111"/>
      <c r="H20" s="111"/>
      <c r="J20" s="120" t="s">
        <v>226</v>
      </c>
      <c r="K20" s="158" t="n">
        <f aca="false">(K8*K17*POWER(10,6))/(K3*K13)</f>
        <v>0.0150449713818479</v>
      </c>
      <c r="M20" s="120" t="s">
        <v>227</v>
      </c>
      <c r="N20" s="151" t="n">
        <f aca="false">(N19/2)+N7</f>
        <v>7.6463768115942</v>
      </c>
      <c r="O20" s="151" t="n">
        <f aca="false">$K$9*N20</f>
        <v>1.52927536231884</v>
      </c>
      <c r="P20" s="124"/>
    </row>
    <row r="21" customFormat="false" ht="16" hidden="false" customHeight="false" outlineLevel="0" collapsed="false">
      <c r="A21" s="107"/>
      <c r="B21" s="157" t="str">
        <f aca="false">"Estimated wire len per strand using "&amp;TEXT(C2,"#")&amp;" AWG, cm ="</f>
        <v>Estimated wire len per strand using 24 AWG, cm =</v>
      </c>
      <c r="C21" s="162" t="n">
        <f aca="false">C19*C3</f>
        <v>37.59</v>
      </c>
      <c r="D21" s="129"/>
      <c r="E21" s="111"/>
      <c r="F21" s="111"/>
      <c r="G21" s="111"/>
      <c r="H21" s="111"/>
      <c r="J21" s="120" t="s">
        <v>228</v>
      </c>
      <c r="K21" s="121" t="n">
        <v>150000</v>
      </c>
      <c r="M21" s="120" t="s">
        <v>229</v>
      </c>
      <c r="N21" s="151" t="n">
        <f aca="false">N20-N19</f>
        <v>6.8463768115942</v>
      </c>
      <c r="O21" s="151" t="n">
        <f aca="false">$K$9*N21</f>
        <v>1.36927536231884</v>
      </c>
      <c r="P21" s="124"/>
    </row>
    <row r="22" customFormat="false" ht="17" hidden="false" customHeight="false" outlineLevel="0" collapsed="false">
      <c r="A22" s="107"/>
      <c r="B22" s="164" t="s">
        <v>230</v>
      </c>
      <c r="C22" s="165" t="n">
        <f aca="false">(E24*C7*POWER(10,-6))/C4</f>
        <v>0.004522614</v>
      </c>
      <c r="D22" s="166"/>
      <c r="E22" s="111"/>
      <c r="F22" s="111"/>
      <c r="G22" s="111"/>
      <c r="H22" s="111"/>
      <c r="J22" s="120" t="s">
        <v>231</v>
      </c>
      <c r="K22" s="126" t="n">
        <f aca="false">K21*K18</f>
        <v>108.023483365949</v>
      </c>
      <c r="M22" s="120" t="s">
        <v>232</v>
      </c>
      <c r="N22" s="151" t="n">
        <f aca="false">(N20-N21)/(N13/POWER(10,-6))</f>
        <v>0.173913043478261</v>
      </c>
      <c r="O22" s="123"/>
      <c r="P22" s="124" t="s">
        <v>233</v>
      </c>
    </row>
    <row r="23" customFormat="false" ht="16" hidden="false" customHeight="true" outlineLevel="0" collapsed="false">
      <c r="A23" s="167" t="s">
        <v>234</v>
      </c>
      <c r="B23" s="168"/>
      <c r="C23" s="169"/>
      <c r="D23" s="170" t="s">
        <v>235</v>
      </c>
      <c r="E23" s="171" t="s">
        <v>236</v>
      </c>
      <c r="F23" s="169"/>
      <c r="G23" s="169"/>
      <c r="H23" s="172"/>
      <c r="J23" s="120" t="s">
        <v>237</v>
      </c>
      <c r="K23" s="173" t="n">
        <f aca="false">3*(K15/K21)</f>
        <v>2.555E-007</v>
      </c>
      <c r="M23" s="120" t="s">
        <v>238</v>
      </c>
      <c r="N23" s="151" t="n">
        <f aca="false">$K$9*N22</f>
        <v>0.0347826086956521</v>
      </c>
      <c r="O23" s="123"/>
      <c r="P23" s="124"/>
    </row>
    <row r="24" customFormat="false" ht="17" hidden="false" customHeight="false" outlineLevel="0" collapsed="false">
      <c r="A24" s="167"/>
      <c r="B24" s="174"/>
      <c r="C24" s="175"/>
      <c r="D24" s="176" t="n">
        <f aca="false">SUM(D25:D41)</f>
        <v>10</v>
      </c>
      <c r="E24" s="176" t="n">
        <f aca="false">SUM(E25:E41)</f>
        <v>37.59</v>
      </c>
      <c r="F24" s="169"/>
      <c r="G24" s="169"/>
      <c r="H24" s="172"/>
      <c r="J24" s="177" t="s">
        <v>191</v>
      </c>
      <c r="K24" s="178" t="n">
        <f aca="false">POWER(K18,2)*K21</f>
        <v>0.0777938197234232</v>
      </c>
      <c r="M24" s="135" t="s">
        <v>239</v>
      </c>
      <c r="N24" s="136" t="n">
        <f aca="false">N17*(N12/0.000001)</f>
        <v>2</v>
      </c>
      <c r="O24" s="123"/>
      <c r="P24" s="161" t="s">
        <v>240</v>
      </c>
    </row>
    <row r="25" customFormat="false" ht="16" hidden="false" customHeight="false" outlineLevel="0" collapsed="false">
      <c r="A25" s="167"/>
      <c r="B25" s="179" t="s">
        <v>241</v>
      </c>
      <c r="C25" s="180" t="n">
        <f aca="false">C19</f>
        <v>3.759</v>
      </c>
      <c r="D25" s="176"/>
      <c r="E25" s="181"/>
      <c r="F25" s="169"/>
      <c r="G25" s="169"/>
      <c r="H25" s="172"/>
      <c r="M25" s="135" t="s">
        <v>242</v>
      </c>
      <c r="N25" s="136" t="n">
        <f aca="false">1/((0.5-N11)*K9*(N12/N9)+(N24/N4))</f>
        <v>13.8</v>
      </c>
      <c r="O25" s="123"/>
      <c r="P25" s="124" t="s">
        <v>243</v>
      </c>
    </row>
    <row r="26" customFormat="false" ht="16" hidden="false" customHeight="false" outlineLevel="0" collapsed="false">
      <c r="A26" s="167"/>
      <c r="B26" s="182" t="s">
        <v>244</v>
      </c>
      <c r="C26" s="180" t="n">
        <f aca="false">D12</f>
        <v>1.41</v>
      </c>
      <c r="D26" s="176"/>
      <c r="E26" s="181"/>
      <c r="F26" s="169"/>
      <c r="G26" s="169"/>
      <c r="H26" s="172"/>
      <c r="M26" s="135" t="s">
        <v>245</v>
      </c>
      <c r="N26" s="136" t="n">
        <f aca="false">1+(N8/(N25*K9))</f>
        <v>1.69</v>
      </c>
      <c r="O26" s="123"/>
      <c r="P26" s="124" t="s">
        <v>246</v>
      </c>
    </row>
    <row r="27" customFormat="false" ht="17" hidden="false" customHeight="false" outlineLevel="0" collapsed="false">
      <c r="A27" s="167"/>
      <c r="B27" s="179" t="s">
        <v>247</v>
      </c>
      <c r="C27" s="180" t="n">
        <f aca="false">C26/2</f>
        <v>0.705</v>
      </c>
      <c r="D27" s="176"/>
      <c r="E27" s="181"/>
      <c r="F27" s="169"/>
      <c r="G27" s="169"/>
      <c r="H27" s="172"/>
      <c r="M27" s="183" t="s">
        <v>248</v>
      </c>
      <c r="N27" s="184" t="n">
        <f aca="false">20*LOG10(N8/(K9*N26))</f>
        <v>15.0168294504964</v>
      </c>
      <c r="O27" s="185"/>
      <c r="P27" s="186" t="s">
        <v>249</v>
      </c>
    </row>
    <row r="28" customFormat="false" ht="16" hidden="false" customHeight="false" outlineLevel="0" collapsed="false">
      <c r="A28" s="167"/>
      <c r="B28" s="187" t="s">
        <v>250</v>
      </c>
      <c r="C28" s="180" t="n">
        <f aca="false">PI()*2*C27</f>
        <v>4.42964564156161</v>
      </c>
      <c r="D28" s="176"/>
      <c r="E28" s="181"/>
      <c r="F28" s="169"/>
      <c r="G28" s="169"/>
      <c r="H28" s="172"/>
    </row>
    <row r="29" customFormat="false" ht="16" hidden="false" customHeight="false" outlineLevel="0" collapsed="false">
      <c r="A29" s="167"/>
      <c r="B29" s="188" t="s">
        <v>251</v>
      </c>
      <c r="C29" s="189" t="n">
        <f aca="false">ROUNDDOWN(C28/C20,0)</f>
        <v>10</v>
      </c>
      <c r="D29" s="190" t="n">
        <f aca="false">ROUNDDOWN(IF(C29&lt;C3,C29,C3),0)</f>
        <v>10</v>
      </c>
      <c r="E29" s="191" t="n">
        <f aca="false">C25*D29</f>
        <v>37.59</v>
      </c>
      <c r="F29" s="169"/>
      <c r="G29" s="192"/>
      <c r="H29" s="172"/>
    </row>
    <row r="30" customFormat="false" ht="17" hidden="false" customHeight="false" outlineLevel="0" collapsed="false">
      <c r="A30" s="167"/>
      <c r="B30" s="182" t="s">
        <v>252</v>
      </c>
      <c r="C30" s="175" t="n">
        <f aca="false">C25+((C8/10)*4)</f>
        <v>3.9898</v>
      </c>
      <c r="D30" s="176"/>
      <c r="E30" s="181"/>
      <c r="F30" s="169"/>
      <c r="G30" s="169"/>
      <c r="H30" s="172"/>
    </row>
    <row r="31" customFormat="false" ht="16" hidden="false" customHeight="false" outlineLevel="0" collapsed="false">
      <c r="A31" s="167"/>
      <c r="B31" s="182" t="s">
        <v>253</v>
      </c>
      <c r="C31" s="175" t="n">
        <f aca="false">C27-(C8/10)</f>
        <v>0.6473</v>
      </c>
      <c r="D31" s="176"/>
      <c r="E31" s="181"/>
      <c r="F31" s="169"/>
      <c r="G31" s="169"/>
      <c r="H31" s="172"/>
      <c r="K31" s="6" t="s">
        <v>254</v>
      </c>
      <c r="L31" s="6"/>
      <c r="M31" s="6"/>
      <c r="N31" s="6"/>
      <c r="O31" s="6"/>
      <c r="P31" s="6"/>
    </row>
    <row r="32" customFormat="false" ht="16" hidden="false" customHeight="false" outlineLevel="0" collapsed="false">
      <c r="A32" s="167"/>
      <c r="B32" s="187" t="s">
        <v>255</v>
      </c>
      <c r="C32" s="175" t="n">
        <f aca="false">2*PI()*C31</f>
        <v>4.06710584933735</v>
      </c>
      <c r="D32" s="176"/>
      <c r="E32" s="181"/>
      <c r="F32" s="169"/>
      <c r="G32" s="169"/>
      <c r="H32" s="172"/>
      <c r="K32" s="193" t="s">
        <v>256</v>
      </c>
      <c r="L32" s="193"/>
      <c r="M32" s="193"/>
      <c r="N32" s="194" t="n">
        <v>3.727</v>
      </c>
      <c r="O32" s="195" t="s">
        <v>257</v>
      </c>
      <c r="P32" s="195"/>
    </row>
    <row r="33" customFormat="false" ht="16" hidden="false" customHeight="false" outlineLevel="0" collapsed="false">
      <c r="A33" s="167"/>
      <c r="B33" s="188" t="s">
        <v>258</v>
      </c>
      <c r="C33" s="189" t="n">
        <f aca="false">ROUNDDOWN(C32/C20,0)</f>
        <v>10</v>
      </c>
      <c r="D33" s="190" t="n">
        <f aca="false">ROUNDDOWN(IF(IF((C29+C33)&lt;C3,C33,C3-C29)&gt;0,IF((C29+C33)&lt;C3,C33,C3-C29),0),0)</f>
        <v>0</v>
      </c>
      <c r="E33" s="191" t="n">
        <f aca="false">C30*D33</f>
        <v>0</v>
      </c>
      <c r="F33" s="169"/>
      <c r="G33" s="192"/>
      <c r="H33" s="172"/>
      <c r="K33" s="193" t="s">
        <v>259</v>
      </c>
      <c r="L33" s="193"/>
      <c r="M33" s="193"/>
      <c r="N33" s="141" t="n">
        <f aca="false">0.000001864</f>
        <v>1.864E-006</v>
      </c>
      <c r="O33" s="195" t="s">
        <v>260</v>
      </c>
      <c r="P33" s="195"/>
    </row>
    <row r="34" customFormat="false" ht="16" hidden="false" customHeight="false" outlineLevel="0" collapsed="false">
      <c r="A34" s="167"/>
      <c r="B34" s="182" t="s">
        <v>261</v>
      </c>
      <c r="C34" s="175" t="n">
        <f aca="false">C30+((C8/10)*4)</f>
        <v>4.2206</v>
      </c>
      <c r="D34" s="176"/>
      <c r="E34" s="181"/>
      <c r="F34" s="169"/>
      <c r="G34" s="169"/>
      <c r="H34" s="172"/>
      <c r="K34" s="193" t="s">
        <v>262</v>
      </c>
      <c r="L34" s="193"/>
      <c r="M34" s="193"/>
      <c r="N34" s="194" t="n">
        <v>0.1</v>
      </c>
      <c r="O34" s="195"/>
      <c r="P34" s="195"/>
    </row>
    <row r="35" customFormat="false" ht="16" hidden="false" customHeight="false" outlineLevel="0" collapsed="false">
      <c r="A35" s="167"/>
      <c r="B35" s="182" t="s">
        <v>263</v>
      </c>
      <c r="C35" s="180" t="n">
        <f aca="false">C31-(C8/10)</f>
        <v>0.5896</v>
      </c>
      <c r="D35" s="176"/>
      <c r="E35" s="181"/>
      <c r="F35" s="169"/>
      <c r="G35" s="169"/>
      <c r="H35" s="172"/>
      <c r="K35" s="193" t="s">
        <v>264</v>
      </c>
      <c r="L35" s="193"/>
      <c r="M35" s="193"/>
      <c r="N35" s="146" t="n">
        <f aca="false">(N32*N33)/N34</f>
        <v>6.947128E-005</v>
      </c>
      <c r="O35" s="195"/>
      <c r="P35" s="195"/>
    </row>
    <row r="36" customFormat="false" ht="16" hidden="false" customHeight="false" outlineLevel="0" collapsed="false">
      <c r="A36" s="167"/>
      <c r="B36" s="187" t="s">
        <v>265</v>
      </c>
      <c r="C36" s="180" t="n">
        <f aca="false">2*PI()*C35</f>
        <v>3.70456605711308</v>
      </c>
      <c r="D36" s="176"/>
      <c r="E36" s="181"/>
      <c r="F36" s="169"/>
      <c r="G36" s="169"/>
      <c r="H36" s="172"/>
      <c r="K36" s="193" t="s">
        <v>266</v>
      </c>
      <c r="L36" s="193"/>
      <c r="M36" s="193"/>
      <c r="N36" s="141" t="n">
        <v>0.00027</v>
      </c>
      <c r="O36" s="195" t="s">
        <v>267</v>
      </c>
      <c r="P36" s="195"/>
    </row>
    <row r="37" customFormat="false" ht="16" hidden="false" customHeight="false" outlineLevel="0" collapsed="false">
      <c r="A37" s="167"/>
      <c r="B37" s="188" t="s">
        <v>268</v>
      </c>
      <c r="C37" s="196" t="n">
        <f aca="false">ROUNDDOWN(C36/C20,0)</f>
        <v>9</v>
      </c>
      <c r="D37" s="190" t="n">
        <f aca="false">ROUNDDOWN(IF(IF((C29+C33+C37)&lt;C3,C37,C3-(C29+C33))&gt;0,IF((C29+C33+C37)&lt;C3,C37,C3-(C29+C33)),0),0)</f>
        <v>0</v>
      </c>
      <c r="E37" s="191" t="n">
        <f aca="false">C34*D37</f>
        <v>0</v>
      </c>
      <c r="F37" s="169"/>
      <c r="G37" s="192"/>
      <c r="H37" s="172"/>
      <c r="K37" s="193" t="s">
        <v>269</v>
      </c>
      <c r="L37" s="193"/>
      <c r="M37" s="193"/>
      <c r="N37" s="194" t="n">
        <v>0.02</v>
      </c>
      <c r="O37" s="195"/>
      <c r="P37" s="195"/>
    </row>
    <row r="38" customFormat="false" ht="16" hidden="false" customHeight="false" outlineLevel="0" collapsed="false">
      <c r="A38" s="167"/>
      <c r="B38" s="182" t="s">
        <v>270</v>
      </c>
      <c r="C38" s="175" t="n">
        <f aca="false">C34+((C8/10)*4)</f>
        <v>4.4514</v>
      </c>
      <c r="D38" s="176"/>
      <c r="E38" s="181"/>
      <c r="F38" s="169"/>
      <c r="G38" s="169"/>
      <c r="H38" s="172"/>
      <c r="K38" s="193" t="s">
        <v>271</v>
      </c>
      <c r="L38" s="193"/>
      <c r="M38" s="193"/>
      <c r="N38" s="197" t="n">
        <f aca="false">(N32*N33)/(N34-N37*N32)</f>
        <v>0.000272864414768264</v>
      </c>
      <c r="O38" s="195"/>
      <c r="P38" s="195"/>
    </row>
    <row r="39" customFormat="false" ht="16" hidden="false" customHeight="false" outlineLevel="0" collapsed="false">
      <c r="A39" s="167"/>
      <c r="B39" s="182" t="s">
        <v>272</v>
      </c>
      <c r="C39" s="180" t="n">
        <f aca="false">C35-(C8/10)</f>
        <v>0.5319</v>
      </c>
      <c r="D39" s="176"/>
      <c r="E39" s="181"/>
      <c r="F39" s="169"/>
      <c r="G39" s="169"/>
      <c r="H39" s="172"/>
      <c r="K39" s="193" t="s">
        <v>273</v>
      </c>
      <c r="L39" s="193"/>
      <c r="M39" s="193"/>
      <c r="N39" s="198" t="n">
        <f aca="false">(N37*N32)+((N33*N32)/N36)</f>
        <v>0.100270103703704</v>
      </c>
      <c r="O39" s="195"/>
      <c r="P39" s="195"/>
    </row>
    <row r="40" customFormat="false" ht="16" hidden="false" customHeight="false" outlineLevel="0" collapsed="false">
      <c r="A40" s="167"/>
      <c r="B40" s="187" t="s">
        <v>274</v>
      </c>
      <c r="C40" s="180" t="n">
        <f aca="false">2*PI()*C39</f>
        <v>3.34202626488882</v>
      </c>
      <c r="D40" s="176"/>
      <c r="E40" s="181"/>
      <c r="F40" s="169"/>
      <c r="G40" s="169"/>
      <c r="H40" s="172"/>
      <c r="K40" s="193" t="s">
        <v>275</v>
      </c>
      <c r="L40" s="193"/>
      <c r="M40" s="193"/>
      <c r="N40" s="199" t="n">
        <f aca="false">1/(2*PI()*SQRT(N9*N36))</f>
        <v>3687.34441145485</v>
      </c>
      <c r="O40" s="195" t="s">
        <v>276</v>
      </c>
      <c r="P40" s="195"/>
    </row>
    <row r="41" customFormat="false" ht="16" hidden="false" customHeight="false" outlineLevel="0" collapsed="false">
      <c r="A41" s="167"/>
      <c r="B41" s="188" t="s">
        <v>277</v>
      </c>
      <c r="C41" s="196" t="n">
        <f aca="false">ROUNDDOWN(C40/C20,0)</f>
        <v>8</v>
      </c>
      <c r="D41" s="190" t="n">
        <f aca="false">ROUNDDOWN(IF(IF((C29+C33+C37+C41)&lt;C3,C41,C3-(C29+C33+C37))&gt;0,IF((C29+C33+C37+C41)&lt;C3,C41,C3-(C29+C33+C37)),0),0)</f>
        <v>0</v>
      </c>
      <c r="E41" s="191" t="n">
        <f aca="false">C38*D41</f>
        <v>0</v>
      </c>
      <c r="F41" s="169"/>
      <c r="G41" s="192"/>
      <c r="H41" s="172"/>
      <c r="K41" s="193" t="s">
        <v>278</v>
      </c>
      <c r="L41" s="193"/>
      <c r="M41" s="193"/>
      <c r="N41" s="200" t="n">
        <f aca="false">(1/(N36*2*PI()))*(1/N8+1/(N25*K9))</f>
        <v>523.100215923559</v>
      </c>
      <c r="O41" s="195" t="s">
        <v>279</v>
      </c>
      <c r="P41" s="195"/>
    </row>
    <row r="42" customFormat="false" ht="17" hidden="false" customHeight="false" outlineLevel="0" collapsed="false">
      <c r="A42" s="201"/>
      <c r="B42" s="202"/>
      <c r="C42" s="203"/>
      <c r="D42" s="202"/>
      <c r="E42" s="202"/>
      <c r="F42" s="202"/>
      <c r="G42" s="202"/>
      <c r="H42" s="204"/>
      <c r="K42" s="193" t="s">
        <v>280</v>
      </c>
      <c r="L42" s="193"/>
      <c r="M42" s="193"/>
      <c r="N42" s="200" t="n">
        <f aca="false">1/(2*PI()*N36*N37)</f>
        <v>29473.1376096103</v>
      </c>
      <c r="O42" s="195" t="s">
        <v>281</v>
      </c>
      <c r="P42" s="195"/>
    </row>
    <row r="43" customFormat="false" ht="16" hidden="false" customHeight="false" outlineLevel="0" collapsed="false">
      <c r="K43" s="193" t="s">
        <v>282</v>
      </c>
      <c r="L43" s="193"/>
      <c r="M43" s="193"/>
      <c r="N43" s="200" t="n">
        <f aca="false">(N25*K9)/(2*PI()*N9)</f>
        <v>63661.9772367581</v>
      </c>
      <c r="O43" s="195" t="s">
        <v>283</v>
      </c>
      <c r="P43" s="195"/>
    </row>
    <row r="44" customFormat="false" ht="17" hidden="false" customHeight="false" outlineLevel="0" collapsed="false">
      <c r="K44" s="205" t="s">
        <v>284</v>
      </c>
      <c r="L44" s="205"/>
      <c r="M44" s="205"/>
      <c r="N44" s="206" t="n">
        <f aca="false">N10/2</f>
        <v>100000</v>
      </c>
      <c r="O44" s="207" t="s">
        <v>285</v>
      </c>
      <c r="P44" s="207"/>
    </row>
  </sheetData>
  <mergeCells count="34">
    <mergeCell ref="D1:H1"/>
    <mergeCell ref="J1:K1"/>
    <mergeCell ref="M1:P1"/>
    <mergeCell ref="A2:A22"/>
    <mergeCell ref="E2:H22"/>
    <mergeCell ref="N2:O2"/>
    <mergeCell ref="A23:A41"/>
    <mergeCell ref="K31:P31"/>
    <mergeCell ref="K32:M32"/>
    <mergeCell ref="O32:P32"/>
    <mergeCell ref="K33:M33"/>
    <mergeCell ref="O33:P33"/>
    <mergeCell ref="K34:M34"/>
    <mergeCell ref="O34:P34"/>
    <mergeCell ref="K35:M35"/>
    <mergeCell ref="O35:P35"/>
    <mergeCell ref="K36:M36"/>
    <mergeCell ref="O36:P36"/>
    <mergeCell ref="K37:M37"/>
    <mergeCell ref="O37:P37"/>
    <mergeCell ref="K38:M38"/>
    <mergeCell ref="O38:P38"/>
    <mergeCell ref="K39:M39"/>
    <mergeCell ref="O39:P39"/>
    <mergeCell ref="K40:M40"/>
    <mergeCell ref="O40:P40"/>
    <mergeCell ref="K41:M41"/>
    <mergeCell ref="O41:P41"/>
    <mergeCell ref="K42:M42"/>
    <mergeCell ref="O42:P42"/>
    <mergeCell ref="K43:M43"/>
    <mergeCell ref="O43:P43"/>
    <mergeCell ref="K44:M44"/>
    <mergeCell ref="O44:P44"/>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1:J20"/>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6" zeroHeight="false" outlineLevelRow="0" outlineLevelCol="0"/>
  <cols>
    <col collapsed="false" customWidth="true" hidden="false" outlineLevel="0" max="1" min="1" style="0" width="10.49"/>
    <col collapsed="false" customWidth="true" hidden="false" outlineLevel="0" max="2" min="2" style="0" width="41.83"/>
    <col collapsed="false" customWidth="true" hidden="false" outlineLevel="0" max="5" min="3" style="0" width="10.49"/>
    <col collapsed="false" customWidth="true" hidden="false" outlineLevel="0" max="6" min="6" style="0" width="47.83"/>
    <col collapsed="false" customWidth="true" hidden="false" outlineLevel="0" max="7" min="7" style="0" width="11.5"/>
    <col collapsed="false" customWidth="true" hidden="false" outlineLevel="0" max="8" min="8" style="0" width="10.5"/>
    <col collapsed="false" customWidth="true" hidden="false" outlineLevel="0" max="9" min="9" style="0" width="10.49"/>
    <col collapsed="false" customWidth="true" hidden="false" outlineLevel="0" max="10" min="10" style="0" width="17.83"/>
    <col collapsed="false" customWidth="true" hidden="false" outlineLevel="0" max="1025" min="11" style="0" width="10.49"/>
  </cols>
  <sheetData>
    <row r="1" customFormat="false" ht="19" hidden="false" customHeight="false" outlineLevel="0" collapsed="false">
      <c r="B1" s="208" t="s">
        <v>286</v>
      </c>
      <c r="C1" s="208"/>
      <c r="D1" s="208"/>
      <c r="E1" s="208"/>
      <c r="F1" s="208"/>
      <c r="G1" s="208"/>
      <c r="H1" s="208"/>
      <c r="I1" s="208"/>
      <c r="J1" s="208"/>
    </row>
    <row r="3" customFormat="false" ht="16" hidden="false" customHeight="false" outlineLevel="0" collapsed="false">
      <c r="B3" s="209" t="s">
        <v>287</v>
      </c>
      <c r="C3" s="210" t="s">
        <v>288</v>
      </c>
      <c r="D3" s="211" t="s">
        <v>289</v>
      </c>
      <c r="F3" s="209" t="s">
        <v>290</v>
      </c>
      <c r="G3" s="210" t="s">
        <v>156</v>
      </c>
      <c r="H3" s="212" t="s">
        <v>164</v>
      </c>
      <c r="I3" s="212"/>
      <c r="J3" s="212"/>
    </row>
    <row r="4" customFormat="false" ht="16" hidden="false" customHeight="false" outlineLevel="0" collapsed="false">
      <c r="B4" s="213" t="s">
        <v>291</v>
      </c>
      <c r="C4" s="214" t="n">
        <v>1</v>
      </c>
      <c r="D4" s="215" t="n">
        <f aca="false">LC!N27</f>
        <v>15.0168294504964</v>
      </c>
      <c r="F4" s="213" t="s">
        <v>292</v>
      </c>
      <c r="G4" s="216" t="n">
        <v>1000</v>
      </c>
      <c r="H4" s="217"/>
      <c r="I4" s="217"/>
      <c r="J4" s="217"/>
    </row>
    <row r="5" customFormat="false" ht="16" hidden="false" customHeight="false" outlineLevel="0" collapsed="false">
      <c r="B5" s="213" t="s">
        <v>293</v>
      </c>
      <c r="C5" s="214" t="n">
        <f aca="false">C4*10</f>
        <v>10</v>
      </c>
      <c r="D5" s="215" t="n">
        <f aca="false">D4</f>
        <v>15.0168294504964</v>
      </c>
      <c r="F5" s="213" t="s">
        <v>294</v>
      </c>
      <c r="G5" s="151" t="n">
        <f aca="false">POWER(10,ABS(D9/20))</f>
        <v>3.39292006587698</v>
      </c>
      <c r="H5" s="217"/>
      <c r="I5" s="217"/>
      <c r="J5" s="217"/>
    </row>
    <row r="6" customFormat="false" ht="16" hidden="false" customHeight="false" outlineLevel="0" collapsed="false">
      <c r="B6" s="213" t="s">
        <v>293</v>
      </c>
      <c r="C6" s="214" t="n">
        <f aca="false">C5*10</f>
        <v>100</v>
      </c>
      <c r="D6" s="215" t="n">
        <f aca="false">D5</f>
        <v>15.0168294504964</v>
      </c>
      <c r="F6" s="213" t="s">
        <v>295</v>
      </c>
      <c r="G6" s="218" t="n">
        <f aca="false">G4*G5</f>
        <v>3392.92006587698</v>
      </c>
      <c r="H6" s="217"/>
      <c r="I6" s="217"/>
      <c r="J6" s="217"/>
    </row>
    <row r="7" customFormat="false" ht="16" hidden="false" customHeight="false" outlineLevel="0" collapsed="false">
      <c r="B7" s="219" t="str">
        <f aca="false">LC!K41&amp;" ="</f>
        <v>Frequency of capacitor pole, Cp =</v>
      </c>
      <c r="C7" s="220" t="n">
        <f aca="false">LC!N41</f>
        <v>523.100215923559</v>
      </c>
      <c r="D7" s="221" t="n">
        <f aca="false">D6</f>
        <v>15.0168294504964</v>
      </c>
      <c r="F7" s="213" t="s">
        <v>296</v>
      </c>
      <c r="G7" s="222" t="n">
        <v>3400</v>
      </c>
      <c r="H7" s="217" t="s">
        <v>297</v>
      </c>
      <c r="I7" s="217"/>
      <c r="J7" s="217"/>
    </row>
    <row r="8" customFormat="false" ht="16" hidden="false" customHeight="false" outlineLevel="0" collapsed="false">
      <c r="B8" s="213" t="s">
        <v>298</v>
      </c>
      <c r="C8" s="214" t="n">
        <f aca="false">C7*10</f>
        <v>5231.00215923559</v>
      </c>
      <c r="D8" s="215" t="n">
        <f aca="false">D7-(20*LOG10(C8/C7))</f>
        <v>-4.98317054950364</v>
      </c>
      <c r="F8" s="213" t="s">
        <v>299</v>
      </c>
      <c r="G8" s="151" t="n">
        <f aca="false">20*LOG10(G7/G4)</f>
        <v>10.6295783408451</v>
      </c>
      <c r="H8" s="223"/>
      <c r="I8" s="223"/>
      <c r="J8" s="223"/>
    </row>
    <row r="9" customFormat="false" ht="16" hidden="false" customHeight="false" outlineLevel="0" collapsed="false">
      <c r="B9" s="213" t="s">
        <v>300</v>
      </c>
      <c r="C9" s="214" t="n">
        <v>10000</v>
      </c>
      <c r="D9" s="215" t="n">
        <f aca="false">D8-(20*LOG10(C9/C8))</f>
        <v>-10.6114725636217</v>
      </c>
      <c r="F9" s="213" t="s">
        <v>301</v>
      </c>
      <c r="G9" s="218" t="n">
        <f aca="false">C9-(ABS(D9)-G8)/(20/(C9-(C9/10)))</f>
        <v>10008.1475997505</v>
      </c>
      <c r="H9" s="217"/>
      <c r="I9" s="217"/>
      <c r="J9" s="217"/>
    </row>
    <row r="10" customFormat="false" ht="16" hidden="false" customHeight="false" outlineLevel="0" collapsed="false">
      <c r="B10" s="219" t="str">
        <f aca="false">LC!K42&amp;" ="</f>
        <v>Frequency of ESR zero, Fesrz =</v>
      </c>
      <c r="C10" s="220" t="n">
        <f aca="false">LC!N42</f>
        <v>29473.1376096103</v>
      </c>
      <c r="D10" s="221" t="n">
        <f aca="false">D9-(20*LOG10(C10/C9))</f>
        <v>-20</v>
      </c>
      <c r="F10" s="213" t="s">
        <v>302</v>
      </c>
      <c r="G10" s="224" t="n">
        <f aca="false">1/(2*PI()*G7*C7)</f>
        <v>8.94862513052558E-008</v>
      </c>
      <c r="H10" s="223"/>
      <c r="I10" s="223"/>
      <c r="J10" s="223"/>
    </row>
    <row r="11" customFormat="false" ht="16" hidden="false" customHeight="false" outlineLevel="0" collapsed="false">
      <c r="B11" s="219" t="str">
        <f aca="false">LC!K43&amp;" ="</f>
        <v>Frequency of inductor pole, Lp =</v>
      </c>
      <c r="C11" s="220" t="n">
        <f aca="false">LC!N43</f>
        <v>63661.9772367581</v>
      </c>
      <c r="D11" s="221" t="n">
        <f aca="false">D10</f>
        <v>-20</v>
      </c>
      <c r="F11" s="213" t="s">
        <v>303</v>
      </c>
      <c r="G11" s="225" t="n">
        <v>1E-007</v>
      </c>
      <c r="H11" s="217" t="s">
        <v>304</v>
      </c>
      <c r="I11" s="217"/>
      <c r="J11" s="217"/>
    </row>
    <row r="12" customFormat="false" ht="16" hidden="false" customHeight="false" outlineLevel="0" collapsed="false">
      <c r="B12" s="213" t="str">
        <f aca="false">LC!K44&amp;" ="</f>
        <v>1/2 switching frequency =</v>
      </c>
      <c r="C12" s="214" t="n">
        <f aca="false">LC!N44</f>
        <v>100000</v>
      </c>
      <c r="D12" s="215" t="n">
        <f aca="false">D11-(20*LOG10(C12/C11))</f>
        <v>-23.9223975406031</v>
      </c>
      <c r="F12" s="213" t="s">
        <v>305</v>
      </c>
      <c r="G12" s="218" t="n">
        <f aca="false">1/(2*PI()*G7*G11)</f>
        <v>468.102773799692</v>
      </c>
      <c r="H12" s="217"/>
      <c r="I12" s="217"/>
      <c r="J12" s="217"/>
    </row>
    <row r="13" customFormat="false" ht="16" hidden="false" customHeight="false" outlineLevel="0" collapsed="false">
      <c r="B13" s="226" t="str">
        <f aca="false">LC!M10&amp;" ="</f>
        <v>Switch freq., Hz =</v>
      </c>
      <c r="C13" s="227" t="n">
        <f aca="false">LC!N10</f>
        <v>200000</v>
      </c>
      <c r="D13" s="228" t="n">
        <f aca="false">D12-(20*LOG10(C13/C12)*2)</f>
        <v>-35.9635973671623</v>
      </c>
      <c r="F13" s="213" t="s">
        <v>306</v>
      </c>
      <c r="G13" s="146" t="n">
        <f aca="false">1/(2*PI()*C10*G7)</f>
        <v>1.58823529411765E-009</v>
      </c>
      <c r="H13" s="217"/>
      <c r="I13" s="217"/>
      <c r="J13" s="217"/>
    </row>
    <row r="14" customFormat="false" ht="16" hidden="false" customHeight="false" outlineLevel="0" collapsed="false">
      <c r="F14" s="213" t="s">
        <v>307</v>
      </c>
      <c r="G14" s="141" t="n">
        <v>1.6E-009</v>
      </c>
      <c r="H14" s="217" t="s">
        <v>308</v>
      </c>
      <c r="I14" s="217"/>
      <c r="J14" s="217"/>
    </row>
    <row r="15" customFormat="false" ht="16" hidden="false" customHeight="false" outlineLevel="0" collapsed="false">
      <c r="B15" s="209" t="s">
        <v>309</v>
      </c>
      <c r="C15" s="210" t="s">
        <v>288</v>
      </c>
      <c r="D15" s="211" t="s">
        <v>289</v>
      </c>
      <c r="F15" s="229" t="s">
        <v>310</v>
      </c>
      <c r="G15" s="230" t="n">
        <f aca="false">1/(2*PI()*G14*G7)</f>
        <v>29256.4233624808</v>
      </c>
      <c r="H15" s="231"/>
      <c r="I15" s="231"/>
      <c r="J15" s="231"/>
    </row>
    <row r="16" customFormat="false" ht="16" hidden="false" customHeight="false" outlineLevel="0" collapsed="false">
      <c r="B16" s="213" t="s">
        <v>291</v>
      </c>
      <c r="C16" s="232" t="n">
        <v>1</v>
      </c>
      <c r="D16" s="215" t="n">
        <f aca="false">D17+20*LOG10(C17/C16)</f>
        <v>64.0364026328377</v>
      </c>
    </row>
    <row r="17" customFormat="false" ht="16" hidden="false" customHeight="false" outlineLevel="0" collapsed="false">
      <c r="B17" s="213" t="str">
        <f aca="false">F12</f>
        <v>C1 zero using standard value, F =</v>
      </c>
      <c r="C17" s="232" t="n">
        <f aca="false">G12</f>
        <v>468.102773799692</v>
      </c>
      <c r="D17" s="215" t="n">
        <f aca="false">G8</f>
        <v>10.6295783408451</v>
      </c>
    </row>
    <row r="18" customFormat="false" ht="16" hidden="false" customHeight="false" outlineLevel="0" collapsed="false">
      <c r="B18" s="219" t="str">
        <f aca="false">F9</f>
        <v>Approximate Fco using standard value R2, Hz =</v>
      </c>
      <c r="C18" s="233" t="n">
        <f aca="false">G9</f>
        <v>10008.1475997505</v>
      </c>
      <c r="D18" s="221" t="n">
        <f aca="false">D17</f>
        <v>10.6295783408451</v>
      </c>
    </row>
    <row r="19" customFormat="false" ht="16" hidden="false" customHeight="false" outlineLevel="0" collapsed="false">
      <c r="B19" s="213" t="str">
        <f aca="false">F15</f>
        <v>C2 pole frequency based on standard value, F =</v>
      </c>
      <c r="C19" s="232" t="n">
        <f aca="false">G15</f>
        <v>29256.4233624808</v>
      </c>
      <c r="D19" s="215" t="n">
        <f aca="false">D18</f>
        <v>10.6295783408451</v>
      </c>
    </row>
    <row r="20" customFormat="false" ht="16" hidden="false" customHeight="false" outlineLevel="0" collapsed="false">
      <c r="B20" s="226" t="str">
        <f aca="false">B13</f>
        <v>Switch freq., Hz =</v>
      </c>
      <c r="C20" s="234" t="n">
        <f aca="false">C13</f>
        <v>200000</v>
      </c>
      <c r="D20" s="228" t="n">
        <f aca="false">D19-(20*LOG10(C20/C19))</f>
        <v>-6.06659693356042</v>
      </c>
    </row>
  </sheetData>
  <mergeCells count="14">
    <mergeCell ref="B1:J1"/>
    <mergeCell ref="H3:J3"/>
    <mergeCell ref="H4:J4"/>
    <mergeCell ref="H5:J5"/>
    <mergeCell ref="H6:J6"/>
    <mergeCell ref="H7:J7"/>
    <mergeCell ref="H8:J8"/>
    <mergeCell ref="H9:J9"/>
    <mergeCell ref="H10:J10"/>
    <mergeCell ref="H11:J11"/>
    <mergeCell ref="H12:J12"/>
    <mergeCell ref="H13:J13"/>
    <mergeCell ref="H14:J14"/>
    <mergeCell ref="H15:J1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3"/>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6" zeroHeight="false" outlineLevelRow="0" outlineLevelCol="0"/>
  <cols>
    <col collapsed="false" customWidth="true" hidden="false" outlineLevel="0" max="1" min="1" style="0" width="10.49"/>
    <col collapsed="false" customWidth="true" hidden="false" outlineLevel="0" max="2" min="2" style="0" width="53.17"/>
    <col collapsed="false" customWidth="true" hidden="false" outlineLevel="0" max="3" min="3" style="0" width="18.66"/>
    <col collapsed="false" customWidth="true" hidden="false" outlineLevel="0" max="4" min="4" style="235" width="120.34"/>
    <col collapsed="false" customWidth="true" hidden="false" outlineLevel="0" max="1025" min="5" style="0" width="10.49"/>
  </cols>
  <sheetData>
    <row r="1" customFormat="false" ht="16" hidden="false" customHeight="false" outlineLevel="0" collapsed="false">
      <c r="B1" s="19" t="s">
        <v>311</v>
      </c>
      <c r="C1" s="19"/>
      <c r="D1" s="19"/>
    </row>
    <row r="2" customFormat="false" ht="17" hidden="false" customHeight="false" outlineLevel="0" collapsed="false">
      <c r="B2" s="236" t="s">
        <v>155</v>
      </c>
      <c r="C2" s="236" t="s">
        <v>156</v>
      </c>
      <c r="D2" s="237" t="s">
        <v>157</v>
      </c>
    </row>
    <row r="3" customFormat="false" ht="17" hidden="false" customHeight="false" outlineLevel="0" collapsed="false">
      <c r="B3" s="238" t="s">
        <v>312</v>
      </c>
      <c r="C3" s="239" t="s">
        <v>313</v>
      </c>
      <c r="D3" s="240"/>
    </row>
    <row r="4" customFormat="false" ht="17" hidden="false" customHeight="false" outlineLevel="0" collapsed="false">
      <c r="B4" s="238" t="s">
        <v>314</v>
      </c>
      <c r="C4" s="241" t="s">
        <v>315</v>
      </c>
    </row>
    <row r="5" customFormat="false" ht="17" hidden="false" customHeight="false" outlineLevel="0" collapsed="false">
      <c r="B5" s="238" t="s">
        <v>316</v>
      </c>
      <c r="C5" s="242" t="n">
        <v>44</v>
      </c>
    </row>
    <row r="6" customFormat="false" ht="17" hidden="false" customHeight="false" outlineLevel="0" collapsed="false">
      <c r="B6" s="238" t="s">
        <v>317</v>
      </c>
      <c r="C6" s="242" t="n">
        <v>2500</v>
      </c>
    </row>
    <row r="7" customFormat="false" ht="17" hidden="false" customHeight="false" outlineLevel="0" collapsed="false">
      <c r="B7" s="238" t="s">
        <v>318</v>
      </c>
      <c r="C7" s="242" t="n">
        <v>613</v>
      </c>
    </row>
    <row r="8" customFormat="false" ht="17" hidden="false" customHeight="false" outlineLevel="0" collapsed="false">
      <c r="B8" s="238" t="s">
        <v>319</v>
      </c>
      <c r="C8" s="243" t="n">
        <v>1.2E-008</v>
      </c>
    </row>
    <row r="9" customFormat="false" ht="16" hidden="false" customHeight="false" outlineLevel="0" collapsed="false">
      <c r="B9" s="244" t="s">
        <v>320</v>
      </c>
      <c r="C9" s="243" t="n">
        <v>7E-009</v>
      </c>
    </row>
    <row r="10" customFormat="false" ht="17" hidden="false" customHeight="false" outlineLevel="0" collapsed="false">
      <c r="B10" s="238" t="s">
        <v>321</v>
      </c>
      <c r="C10" s="242" t="n">
        <v>30</v>
      </c>
    </row>
    <row r="11" customFormat="false" ht="17" hidden="false" customHeight="false" outlineLevel="0" collapsed="false">
      <c r="B11" s="238" t="s">
        <v>322</v>
      </c>
      <c r="C11" s="245" t="n">
        <f aca="false">IF($C$3="Minimum",vin_min,IF($C$3="Nominal",Vin,IF($C$3="Maximum",vin_max,0)))</f>
        <v>15</v>
      </c>
    </row>
    <row r="12" customFormat="false" ht="17" hidden="false" customHeight="false" outlineLevel="0" collapsed="false">
      <c r="B12" s="238" t="s">
        <v>323</v>
      </c>
      <c r="C12" s="245" t="n">
        <f aca="false">Vcc</f>
        <v>12</v>
      </c>
    </row>
    <row r="13" customFormat="false" ht="17" hidden="false" customHeight="false" outlineLevel="0" collapsed="false">
      <c r="B13" s="238" t="s">
        <v>324</v>
      </c>
      <c r="C13" s="246" t="n">
        <f aca="false">(POWER(10,-12)*C6*C12)/C8</f>
        <v>2.5</v>
      </c>
    </row>
    <row r="14" customFormat="false" ht="17" hidden="false" customHeight="false" outlineLevel="0" collapsed="false">
      <c r="B14" s="238" t="s">
        <v>325</v>
      </c>
      <c r="C14" s="246" t="n">
        <f aca="false">(C5*POWER(10,-12)*(C11+C12))/C8</f>
        <v>0.099</v>
      </c>
    </row>
    <row r="15" customFormat="false" ht="17" hidden="false" customHeight="false" outlineLevel="0" collapsed="false">
      <c r="B15" s="238" t="s">
        <v>326</v>
      </c>
      <c r="C15" s="246" t="n">
        <f aca="false">C13+C14</f>
        <v>2.599</v>
      </c>
    </row>
    <row r="16" customFormat="false" ht="17" hidden="false" customHeight="false" outlineLevel="0" collapsed="false">
      <c r="B16" s="238" t="s">
        <v>327</v>
      </c>
      <c r="C16" s="247" t="n">
        <f aca="false">C6*POWER(10,-12)+((C11/C12)*C5*POWER(10,-12))</f>
        <v>2.555E-009</v>
      </c>
    </row>
    <row r="17" customFormat="false" ht="17" hidden="false" customHeight="false" outlineLevel="0" collapsed="false">
      <c r="B17" s="238" t="s">
        <v>328</v>
      </c>
      <c r="C17" s="242" t="n">
        <v>5.1</v>
      </c>
      <c r="D17" s="235" t="s">
        <v>329</v>
      </c>
    </row>
    <row r="18" customFormat="false" ht="17" hidden="false" customHeight="false" outlineLevel="0" collapsed="false">
      <c r="B18" s="238" t="s">
        <v>330</v>
      </c>
      <c r="C18" s="248" t="n">
        <f aca="false">C17*C16</f>
        <v>1.30305E-008</v>
      </c>
    </row>
    <row r="19" customFormat="false" ht="17" hidden="false" customHeight="true" outlineLevel="0" collapsed="false">
      <c r="B19" s="238" t="s">
        <v>331</v>
      </c>
      <c r="C19" s="248" t="n">
        <f aca="false">C18*3</f>
        <v>3.90915E-008</v>
      </c>
    </row>
    <row r="20" customFormat="false" ht="17" hidden="false" customHeight="false" outlineLevel="0" collapsed="false">
      <c r="B20" s="238" t="s">
        <v>332</v>
      </c>
      <c r="C20" s="249" t="n">
        <f aca="false">C12/C17</f>
        <v>2.35294117647059</v>
      </c>
    </row>
    <row r="21" customFormat="false" ht="16" hidden="false" customHeight="true" outlineLevel="0" collapsed="false">
      <c r="B21" s="238" t="s">
        <v>333</v>
      </c>
      <c r="C21" s="246" t="n">
        <f aca="false">(C19/Tinv)*C20</f>
        <v>0.018396</v>
      </c>
    </row>
    <row r="22" customFormat="false" ht="17" hidden="false" customHeight="false" outlineLevel="0" collapsed="false">
      <c r="B22" s="238" t="s">
        <v>334</v>
      </c>
      <c r="C22" s="249" t="n">
        <f aca="false">POWER(C20,2)*C17*(C19/Tinv)</f>
        <v>0.220752</v>
      </c>
    </row>
    <row r="23" customFormat="false" ht="34" hidden="false" customHeight="false" outlineLevel="0" collapsed="false">
      <c r="B23" s="238" t="s">
        <v>335</v>
      </c>
      <c r="C23" s="249" t="n">
        <f aca="false">(C10/C8)*(C5*0.000000000001)*C17</f>
        <v>0.561</v>
      </c>
    </row>
    <row r="24" customFormat="false" ht="17" hidden="false" customHeight="false" outlineLevel="0" collapsed="false">
      <c r="B24" s="250" t="s">
        <v>336</v>
      </c>
      <c r="C24" s="250"/>
      <c r="D24" s="235" t="s">
        <v>337</v>
      </c>
    </row>
    <row r="25" customFormat="false" ht="16" hidden="false" customHeight="true" outlineLevel="0" collapsed="false">
      <c r="B25" s="251" t="s">
        <v>338</v>
      </c>
      <c r="C25" s="247" t="n">
        <f aca="false">(Iin_max*C9)/(2*(vin_min+2))</f>
        <v>1.37254901960784E-009</v>
      </c>
      <c r="D25" s="252" t="s">
        <v>339</v>
      </c>
    </row>
    <row r="26" customFormat="false" ht="16" hidden="false" customHeight="false" outlineLevel="0" collapsed="false">
      <c r="A26" s="253"/>
      <c r="B26" s="251" t="s">
        <v>340</v>
      </c>
      <c r="C26" s="254" t="n">
        <f aca="false">C9/C25</f>
        <v>5.1</v>
      </c>
      <c r="D26" s="252"/>
    </row>
    <row r="27" customFormat="false" ht="71" hidden="false" customHeight="false" outlineLevel="0" collapsed="false">
      <c r="A27" s="253"/>
      <c r="B27" s="251" t="s">
        <v>341</v>
      </c>
      <c r="C27" s="247" t="n">
        <f aca="false">C25*POWER(vin_max,2)*Finv</f>
        <v>0.132862745098039</v>
      </c>
      <c r="D27" s="255" t="s">
        <v>342</v>
      </c>
    </row>
    <row r="28" customFormat="false" ht="17" hidden="false" customHeight="false" outlineLevel="0" collapsed="false">
      <c r="B28" s="251" t="s">
        <v>343</v>
      </c>
      <c r="C28" s="247" t="n">
        <f aca="false">C25*C26</f>
        <v>7E-009</v>
      </c>
      <c r="D28" s="235" t="s">
        <v>344</v>
      </c>
    </row>
    <row r="29" customFormat="false" ht="17" hidden="false" customHeight="false" outlineLevel="0" collapsed="false">
      <c r="B29" s="251" t="s">
        <v>345</v>
      </c>
      <c r="C29" s="247" t="n">
        <f aca="false">4*((C25*C11)/Tinv)</f>
        <v>0.0164705882352941</v>
      </c>
      <c r="D29" s="235" t="s">
        <v>346</v>
      </c>
    </row>
    <row r="30" customFormat="false" ht="16" hidden="false" customHeight="false" outlineLevel="0" collapsed="false">
      <c r="B30" s="19" t="s">
        <v>347</v>
      </c>
      <c r="C30" s="19"/>
    </row>
    <row r="31" customFormat="false" ht="34" hidden="false" customHeight="false" outlineLevel="0" collapsed="false">
      <c r="B31" s="256" t="s">
        <v>348</v>
      </c>
      <c r="C31" s="257"/>
    </row>
    <row r="32" customFormat="false" ht="34" hidden="false" customHeight="false" outlineLevel="0" collapsed="false">
      <c r="B32" s="244" t="s">
        <v>349</v>
      </c>
      <c r="C32" s="253" t="n">
        <v>7E-009</v>
      </c>
      <c r="D32" s="235" t="s">
        <v>350</v>
      </c>
    </row>
    <row r="33" s="235" customFormat="true" ht="16" hidden="false" customHeight="false" outlineLevel="0" collapsed="false">
      <c r="B33" s="251" t="s">
        <v>351</v>
      </c>
      <c r="C33" s="258" t="n">
        <f aca="false">(Iin_max/(C9+C19))*C32</f>
        <v>1.0124788012251</v>
      </c>
    </row>
  </sheetData>
  <mergeCells count="4">
    <mergeCell ref="B1:D1"/>
    <mergeCell ref="B24:C24"/>
    <mergeCell ref="D25:D26"/>
    <mergeCell ref="B30:C30"/>
  </mergeCells>
  <dataValidations count="1">
    <dataValidation allowBlank="true" operator="between" showDropDown="false" showErrorMessage="true" showInputMessage="true" sqref="C3" type="list">
      <formula1>"Minimum,Nominal,Maximum"</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1:E30"/>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A1" activeCellId="0" sqref="A1"/>
    </sheetView>
  </sheetViews>
  <sheetFormatPr defaultRowHeight="17" zeroHeight="false" outlineLevelRow="0" outlineLevelCol="0"/>
  <cols>
    <col collapsed="false" customWidth="true" hidden="false" outlineLevel="0" max="1" min="1" style="0" width="10.49"/>
    <col collapsed="false" customWidth="true" hidden="false" outlineLevel="0" max="2" min="2" style="259" width="69.16"/>
    <col collapsed="false" customWidth="true" hidden="false" outlineLevel="0" max="3" min="3" style="0" width="11.83"/>
    <col collapsed="false" customWidth="true" hidden="false" outlineLevel="0" max="4" min="4" style="0" width="10.49"/>
    <col collapsed="false" customWidth="true" hidden="false" outlineLevel="0" max="5" min="5" style="0" width="84"/>
    <col collapsed="false" customWidth="true" hidden="false" outlineLevel="0" max="1025" min="6" style="0" width="10.49"/>
  </cols>
  <sheetData>
    <row r="1" customFormat="false" ht="16" hidden="false" customHeight="false" outlineLevel="0" collapsed="false">
      <c r="B1" s="106" t="s">
        <v>352</v>
      </c>
      <c r="C1" s="106"/>
      <c r="D1" s="106"/>
      <c r="E1" s="106"/>
    </row>
    <row r="2" customFormat="false" ht="16" hidden="false" customHeight="false" outlineLevel="0" collapsed="false">
      <c r="B2" s="260" t="s">
        <v>353</v>
      </c>
      <c r="C2" s="236" t="s">
        <v>156</v>
      </c>
      <c r="D2" s="236" t="s">
        <v>354</v>
      </c>
      <c r="E2" s="261" t="s">
        <v>157</v>
      </c>
    </row>
    <row r="3" customFormat="false" ht="17" hidden="false" customHeight="false" outlineLevel="0" collapsed="false">
      <c r="B3" s="262" t="s">
        <v>355</v>
      </c>
      <c r="C3" s="263" t="n">
        <v>0.00021</v>
      </c>
      <c r="D3" s="264" t="s">
        <v>356</v>
      </c>
      <c r="E3" s="265" t="s">
        <v>357</v>
      </c>
    </row>
    <row r="4" customFormat="false" ht="17" hidden="false" customHeight="false" outlineLevel="0" collapsed="false">
      <c r="B4" s="262" t="s">
        <v>358</v>
      </c>
      <c r="C4" s="263" t="n">
        <v>5E-005</v>
      </c>
      <c r="D4" s="264" t="s">
        <v>356</v>
      </c>
      <c r="E4" s="265" t="s">
        <v>357</v>
      </c>
    </row>
    <row r="5" customFormat="false" ht="17" hidden="false" customHeight="false" outlineLevel="0" collapsed="false">
      <c r="B5" s="262" t="s">
        <v>359</v>
      </c>
      <c r="C5" s="263" t="n">
        <v>3.2E-008</v>
      </c>
      <c r="D5" s="264" t="s">
        <v>360</v>
      </c>
      <c r="E5" s="265" t="s">
        <v>361</v>
      </c>
    </row>
    <row r="6" customFormat="false" ht="17" hidden="false" customHeight="false" outlineLevel="0" collapsed="false">
      <c r="B6" s="262" t="s">
        <v>362</v>
      </c>
      <c r="C6" s="263" t="n">
        <v>2E-008</v>
      </c>
      <c r="D6" s="264" t="s">
        <v>360</v>
      </c>
      <c r="E6" s="265" t="s">
        <v>363</v>
      </c>
    </row>
    <row r="7" customFormat="false" ht="17" hidden="false" customHeight="false" outlineLevel="0" collapsed="false">
      <c r="B7" s="262" t="s">
        <v>364</v>
      </c>
      <c r="C7" s="263" t="n">
        <v>1E-007</v>
      </c>
      <c r="D7" s="264" t="s">
        <v>356</v>
      </c>
      <c r="E7" s="265" t="s">
        <v>365</v>
      </c>
    </row>
    <row r="8" customFormat="false" ht="17" hidden="false" customHeight="false" outlineLevel="0" collapsed="false">
      <c r="B8" s="262" t="s">
        <v>366</v>
      </c>
      <c r="C8" s="263" t="n">
        <v>0.0008</v>
      </c>
      <c r="D8" s="264" t="s">
        <v>356</v>
      </c>
      <c r="E8" s="265" t="s">
        <v>367</v>
      </c>
    </row>
    <row r="9" customFormat="false" ht="17" hidden="false" customHeight="false" outlineLevel="0" collapsed="false">
      <c r="B9" s="262" t="s">
        <v>368</v>
      </c>
      <c r="C9" s="266" t="n">
        <v>0.64</v>
      </c>
      <c r="D9" s="264" t="s">
        <v>369</v>
      </c>
      <c r="E9" s="265" t="s">
        <v>370</v>
      </c>
    </row>
    <row r="10" customFormat="false" ht="17" hidden="false" customHeight="false" outlineLevel="0" collapsed="false">
      <c r="B10" s="262" t="s">
        <v>371</v>
      </c>
      <c r="C10" s="263" t="n">
        <v>0</v>
      </c>
      <c r="D10" s="264" t="s">
        <v>356</v>
      </c>
      <c r="E10" s="265" t="s">
        <v>372</v>
      </c>
    </row>
    <row r="11" customFormat="false" ht="17" hidden="false" customHeight="false" outlineLevel="0" collapsed="false">
      <c r="B11" s="262" t="s">
        <v>373</v>
      </c>
      <c r="C11" s="266" t="n">
        <v>0</v>
      </c>
      <c r="D11" s="264" t="s">
        <v>356</v>
      </c>
      <c r="E11" s="265" t="s">
        <v>374</v>
      </c>
    </row>
    <row r="12" customFormat="false" ht="17" hidden="false" customHeight="false" outlineLevel="0" collapsed="false">
      <c r="B12" s="262" t="s">
        <v>375</v>
      </c>
      <c r="C12" s="267" t="n">
        <f aca="false">Ton</f>
        <v>4.6E-006</v>
      </c>
      <c r="D12" s="264" t="s">
        <v>376</v>
      </c>
      <c r="E12" s="265" t="s">
        <v>377</v>
      </c>
    </row>
    <row r="13" customFormat="false" ht="17" hidden="false" customHeight="false" outlineLevel="0" collapsed="false">
      <c r="B13" s="262" t="s">
        <v>378</v>
      </c>
      <c r="C13" s="268" t="n">
        <f aca="false">Vcc_min</f>
        <v>11</v>
      </c>
      <c r="D13" s="264" t="s">
        <v>369</v>
      </c>
      <c r="E13" s="265"/>
    </row>
    <row r="14" customFormat="false" ht="17" hidden="false" customHeight="false" outlineLevel="0" collapsed="false">
      <c r="B14" s="262" t="s">
        <v>379</v>
      </c>
      <c r="C14" s="268" t="n">
        <f aca="false">POWER(iout_max,2)*0.008</f>
        <v>0.420079815164881</v>
      </c>
      <c r="D14" s="264" t="s">
        <v>369</v>
      </c>
      <c r="E14" s="265" t="s">
        <v>380</v>
      </c>
    </row>
    <row r="15" customFormat="false" ht="17" hidden="false" customHeight="false" outlineLevel="0" collapsed="false">
      <c r="B15" s="262" t="s">
        <v>381</v>
      </c>
      <c r="C15" s="266" t="n">
        <v>9.5</v>
      </c>
      <c r="D15" s="264" t="s">
        <v>369</v>
      </c>
      <c r="E15" s="265" t="s">
        <v>382</v>
      </c>
    </row>
    <row r="16" customFormat="false" ht="17" hidden="false" customHeight="false" outlineLevel="0" collapsed="false">
      <c r="B16" s="262" t="s">
        <v>383</v>
      </c>
      <c r="C16" s="269" t="n">
        <f aca="false">(C5+C6)+((C7+C3+C4+C8+C10+C11)*C12)</f>
        <v>5.687646E-008</v>
      </c>
      <c r="D16" s="264" t="s">
        <v>360</v>
      </c>
      <c r="E16" s="265"/>
    </row>
    <row r="17" customFormat="false" ht="17" hidden="false" customHeight="false" outlineLevel="0" collapsed="false">
      <c r="B17" s="262" t="s">
        <v>384</v>
      </c>
      <c r="C17" s="258" t="n">
        <f aca="false">C13-C9-C15-C14</f>
        <v>0.439920184835118</v>
      </c>
      <c r="D17" s="264" t="s">
        <v>369</v>
      </c>
      <c r="E17" s="265"/>
    </row>
    <row r="18" customFormat="false" ht="17" hidden="false" customHeight="false" outlineLevel="0" collapsed="false">
      <c r="B18" s="262" t="s">
        <v>385</v>
      </c>
      <c r="C18" s="269" t="n">
        <f aca="false">C16/C17</f>
        <v>1.29288134440381E-007</v>
      </c>
      <c r="D18" s="264" t="s">
        <v>386</v>
      </c>
      <c r="E18" s="265"/>
    </row>
    <row r="19" customFormat="false" ht="17" hidden="false" customHeight="false" outlineLevel="0" collapsed="false">
      <c r="B19" s="262" t="s">
        <v>387</v>
      </c>
      <c r="C19" s="269" t="n">
        <f aca="false">C18*2</f>
        <v>2.58576268880762E-007</v>
      </c>
      <c r="D19" s="264" t="s">
        <v>386</v>
      </c>
      <c r="E19" s="265"/>
    </row>
    <row r="20" customFormat="false" ht="17" hidden="false" customHeight="false" outlineLevel="0" collapsed="false">
      <c r="B20" s="270" t="s">
        <v>388</v>
      </c>
      <c r="C20" s="271" t="n">
        <v>2.7E-007</v>
      </c>
      <c r="D20" s="272" t="s">
        <v>386</v>
      </c>
      <c r="E20" s="273" t="s">
        <v>389</v>
      </c>
    </row>
    <row r="21" customFormat="false" ht="17" hidden="false" customHeight="false" outlineLevel="0" collapsed="false">
      <c r="C21" s="263"/>
      <c r="E21" s="274"/>
    </row>
    <row r="22" customFormat="false" ht="17" hidden="false" customHeight="false" outlineLevel="0" collapsed="false">
      <c r="B22" s="209" t="s">
        <v>390</v>
      </c>
      <c r="C22" s="210" t="s">
        <v>156</v>
      </c>
      <c r="D22" s="210" t="s">
        <v>354</v>
      </c>
      <c r="E22" s="275" t="s">
        <v>157</v>
      </c>
    </row>
    <row r="23" customFormat="false" ht="17" hidden="false" customHeight="false" outlineLevel="0" collapsed="false">
      <c r="B23" s="276" t="s">
        <v>391</v>
      </c>
      <c r="C23" s="277" t="n">
        <v>0.22</v>
      </c>
      <c r="D23" s="278" t="s">
        <v>392</v>
      </c>
      <c r="E23" s="265" t="s">
        <v>393</v>
      </c>
    </row>
    <row r="24" customFormat="false" ht="17" hidden="false" customHeight="false" outlineLevel="0" collapsed="false">
      <c r="B24" s="270" t="s">
        <v>394</v>
      </c>
      <c r="C24" s="279" t="n">
        <f aca="false">C20*C23</f>
        <v>5.94E-008</v>
      </c>
      <c r="D24" s="280" t="s">
        <v>376</v>
      </c>
      <c r="E24" s="265"/>
    </row>
    <row r="25" customFormat="false" ht="17" hidden="false" customHeight="false" outlineLevel="0" collapsed="false">
      <c r="B25" s="262" t="s">
        <v>395</v>
      </c>
      <c r="C25" s="258" t="n">
        <f aca="false">C15+C17</f>
        <v>9.93992018483512</v>
      </c>
      <c r="D25" s="281" t="s">
        <v>369</v>
      </c>
      <c r="E25" s="265"/>
    </row>
    <row r="26" customFormat="false" ht="34" hidden="false" customHeight="false" outlineLevel="0" collapsed="false">
      <c r="B26" s="262" t="s">
        <v>396</v>
      </c>
      <c r="C26" s="282" t="n">
        <f aca="false">C24*(LN(1/(1-(C25-0.000001)/C25)))</f>
        <v>9.5705693126371E-007</v>
      </c>
      <c r="D26" s="281" t="s">
        <v>376</v>
      </c>
      <c r="E26" s="283" t="s">
        <v>397</v>
      </c>
    </row>
    <row r="27" customFormat="false" ht="17" hidden="false" customHeight="false" outlineLevel="0" collapsed="false">
      <c r="B27" s="262" t="s">
        <v>398</v>
      </c>
      <c r="C27" s="258" t="n">
        <f aca="false">(C20*C25)/C26</f>
        <v>2.80419937647992</v>
      </c>
      <c r="D27" s="281" t="s">
        <v>356</v>
      </c>
      <c r="E27" s="265" t="s">
        <v>399</v>
      </c>
    </row>
    <row r="28" customFormat="false" ht="17" hidden="false" customHeight="false" outlineLevel="0" collapsed="false">
      <c r="B28" s="262" t="s">
        <v>400</v>
      </c>
      <c r="C28" s="258" t="n">
        <f aca="false">C23*C27</f>
        <v>0.616923862825582</v>
      </c>
      <c r="D28" s="281" t="s">
        <v>369</v>
      </c>
      <c r="E28" s="265"/>
    </row>
    <row r="29" customFormat="false" ht="17" hidden="false" customHeight="true" outlineLevel="0" collapsed="false">
      <c r="B29" s="262" t="s">
        <v>401</v>
      </c>
      <c r="C29" s="284" t="n">
        <f aca="false">(POWER(C27,2)*C23)*(C26/Tinv)</f>
        <v>0.331137393656749</v>
      </c>
      <c r="D29" s="281" t="s">
        <v>402</v>
      </c>
      <c r="E29" s="285" t="s">
        <v>403</v>
      </c>
    </row>
    <row r="30" customFormat="false" ht="17" hidden="false" customHeight="false" outlineLevel="0" collapsed="false">
      <c r="B30" s="270" t="s">
        <v>404</v>
      </c>
      <c r="C30" s="286" t="n">
        <f aca="false">C27*C9*(C26/Tinv)</f>
        <v>0.343523641587902</v>
      </c>
      <c r="D30" s="280" t="s">
        <v>402</v>
      </c>
      <c r="E30" s="285"/>
    </row>
  </sheetData>
  <mergeCells count="2">
    <mergeCell ref="B1:E1"/>
    <mergeCell ref="E29:E30"/>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N67"/>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pane xSplit="4" ySplit="1" topLeftCell="E2" activePane="bottomRight" state="frozen"/>
      <selection pane="topLeft" activeCell="A1" activeCellId="0" sqref="A1"/>
      <selection pane="topRight" activeCell="E1" activeCellId="0" sqref="E1"/>
      <selection pane="bottomLeft" activeCell="A2" activeCellId="0" sqref="A2"/>
      <selection pane="bottomRight" activeCell="A1" activeCellId="0" sqref="A1"/>
    </sheetView>
  </sheetViews>
  <sheetFormatPr defaultRowHeight="16" zeroHeight="false" outlineLevelRow="0" outlineLevelCol="0"/>
  <cols>
    <col collapsed="false" customWidth="true" hidden="false" outlineLevel="0" max="1" min="1" style="287" width="16.16"/>
    <col collapsed="false" customWidth="true" hidden="false" outlineLevel="0" max="2" min="2" style="287" width="21.5"/>
    <col collapsed="false" customWidth="true" hidden="false" outlineLevel="0" max="3" min="3" style="287" width="5"/>
    <col collapsed="false" customWidth="true" hidden="false" outlineLevel="0" max="4" min="4" style="288" width="18"/>
    <col collapsed="false" customWidth="true" hidden="false" outlineLevel="0" max="5" min="5" style="289" width="6.5"/>
    <col collapsed="false" customWidth="true" hidden="false" outlineLevel="0" max="6" min="6" style="290" width="6.5"/>
    <col collapsed="false" customWidth="true" hidden="false" outlineLevel="0" max="7" min="7" style="291" width="33"/>
    <col collapsed="false" customWidth="true" hidden="false" outlineLevel="0" max="8" min="8" style="287" width="9.83"/>
    <col collapsed="false" customWidth="true" hidden="false" outlineLevel="0" max="9" min="9" style="292" width="24.66"/>
    <col collapsed="false" customWidth="true" hidden="false" outlineLevel="0" max="10" min="10" style="292" width="38.66"/>
    <col collapsed="false" customWidth="true" hidden="false" outlineLevel="0" max="11" min="11" style="292" width="16.16"/>
    <col collapsed="false" customWidth="true" hidden="false" outlineLevel="0" max="12" min="12" style="293" width="38.5"/>
    <col collapsed="false" customWidth="true" hidden="false" outlineLevel="0" max="13" min="13" style="287" width="51"/>
    <col collapsed="false" customWidth="true" hidden="false" outlineLevel="0" max="1025" min="14" style="287" width="10.83"/>
  </cols>
  <sheetData>
    <row r="1" customFormat="false" ht="17" hidden="false" customHeight="false" outlineLevel="0" collapsed="false">
      <c r="A1" s="236" t="s">
        <v>405</v>
      </c>
      <c r="B1" s="236" t="s">
        <v>406</v>
      </c>
      <c r="C1" s="236" t="s">
        <v>407</v>
      </c>
      <c r="D1" s="236" t="s">
        <v>156</v>
      </c>
      <c r="E1" s="294" t="s">
        <v>408</v>
      </c>
      <c r="F1" s="236" t="s">
        <v>409</v>
      </c>
      <c r="G1" s="294" t="s">
        <v>410</v>
      </c>
      <c r="H1" s="236" t="s">
        <v>411</v>
      </c>
      <c r="I1" s="294" t="s">
        <v>412</v>
      </c>
      <c r="J1" s="294" t="s">
        <v>413</v>
      </c>
      <c r="K1" s="294" t="s">
        <v>414</v>
      </c>
      <c r="L1" s="237" t="s">
        <v>2</v>
      </c>
      <c r="M1" s="236" t="s">
        <v>27</v>
      </c>
    </row>
    <row r="2" customFormat="false" ht="34" hidden="false" customHeight="false" outlineLevel="0" collapsed="false">
      <c r="A2" s="287" t="s">
        <v>415</v>
      </c>
      <c r="C2" s="287" t="n">
        <v>1</v>
      </c>
      <c r="D2" s="288" t="s">
        <v>416</v>
      </c>
      <c r="E2" s="289" t="s">
        <v>417</v>
      </c>
      <c r="F2" s="289" t="s">
        <v>418</v>
      </c>
      <c r="G2" s="291" t="s">
        <v>419</v>
      </c>
      <c r="H2" s="287" t="s">
        <v>420</v>
      </c>
      <c r="I2" s="295" t="s">
        <v>421</v>
      </c>
      <c r="J2" s="296"/>
      <c r="L2" s="293" t="s">
        <v>422</v>
      </c>
      <c r="M2" s="287" t="s">
        <v>423</v>
      </c>
    </row>
    <row r="3" customFormat="false" ht="34" hidden="false" customHeight="false" outlineLevel="0" collapsed="false">
      <c r="A3" s="287" t="s">
        <v>424</v>
      </c>
      <c r="B3" s="297" t="s">
        <v>425</v>
      </c>
      <c r="C3" s="297" t="n">
        <v>1</v>
      </c>
      <c r="D3" s="288" t="s">
        <v>426</v>
      </c>
      <c r="E3" s="289" t="s">
        <v>427</v>
      </c>
      <c r="F3" s="289" t="s">
        <v>418</v>
      </c>
      <c r="G3" s="291" t="s">
        <v>419</v>
      </c>
      <c r="H3" s="287" t="s">
        <v>420</v>
      </c>
      <c r="I3" s="298" t="s">
        <v>428</v>
      </c>
      <c r="L3" s="293" t="s">
        <v>429</v>
      </c>
      <c r="M3" s="287" t="s">
        <v>430</v>
      </c>
    </row>
    <row r="4" customFormat="false" ht="68" hidden="false" customHeight="false" outlineLevel="0" collapsed="false">
      <c r="A4" s="287" t="s">
        <v>431</v>
      </c>
      <c r="B4" s="287" t="s">
        <v>432</v>
      </c>
      <c r="C4" s="297" t="n">
        <v>1</v>
      </c>
      <c r="D4" s="288" t="s">
        <v>433</v>
      </c>
      <c r="E4" s="289" t="s">
        <v>434</v>
      </c>
      <c r="F4" s="290" t="s">
        <v>418</v>
      </c>
      <c r="G4" s="291" t="s">
        <v>419</v>
      </c>
      <c r="H4" s="297" t="s">
        <v>420</v>
      </c>
      <c r="I4" s="292" t="s">
        <v>435</v>
      </c>
      <c r="J4" s="296" t="s">
        <v>436</v>
      </c>
      <c r="L4" s="293" t="s">
        <v>437</v>
      </c>
      <c r="M4" s="292" t="s">
        <v>438</v>
      </c>
    </row>
    <row r="5" customFormat="false" ht="34" hidden="false" customHeight="false" outlineLevel="0" collapsed="false">
      <c r="A5" s="287" t="s">
        <v>439</v>
      </c>
      <c r="B5" s="297"/>
      <c r="C5" s="297" t="n">
        <v>1</v>
      </c>
      <c r="D5" s="299" t="s">
        <v>440</v>
      </c>
      <c r="E5" s="300" t="s">
        <v>441</v>
      </c>
      <c r="F5" s="300" t="s">
        <v>418</v>
      </c>
      <c r="G5" s="301" t="s">
        <v>419</v>
      </c>
      <c r="H5" s="297" t="s">
        <v>420</v>
      </c>
      <c r="I5" s="298" t="s">
        <v>442</v>
      </c>
      <c r="L5" s="302" t="s">
        <v>443</v>
      </c>
      <c r="M5" s="287" t="s">
        <v>444</v>
      </c>
    </row>
    <row r="6" customFormat="false" ht="34" hidden="false" customHeight="false" outlineLevel="0" collapsed="false">
      <c r="A6" s="287" t="s">
        <v>431</v>
      </c>
      <c r="C6" s="297" t="n">
        <v>1</v>
      </c>
      <c r="D6" s="288" t="s">
        <v>445</v>
      </c>
      <c r="E6" s="289" t="s">
        <v>146</v>
      </c>
      <c r="F6" s="290" t="s">
        <v>418</v>
      </c>
      <c r="G6" s="291" t="s">
        <v>419</v>
      </c>
      <c r="H6" s="297" t="s">
        <v>420</v>
      </c>
      <c r="I6" s="292" t="s">
        <v>446</v>
      </c>
      <c r="L6" s="293" t="s">
        <v>447</v>
      </c>
      <c r="M6" s="292" t="s">
        <v>448</v>
      </c>
    </row>
    <row r="7" customFormat="false" ht="34" hidden="false" customHeight="false" outlineLevel="0" collapsed="false">
      <c r="A7" s="287" t="s">
        <v>439</v>
      </c>
      <c r="C7" s="297" t="n">
        <v>1</v>
      </c>
      <c r="D7" s="288" t="s">
        <v>449</v>
      </c>
      <c r="E7" s="289" t="s">
        <v>450</v>
      </c>
      <c r="F7" s="289" t="s">
        <v>418</v>
      </c>
      <c r="G7" s="291" t="s">
        <v>451</v>
      </c>
      <c r="H7" s="287" t="s">
        <v>420</v>
      </c>
      <c r="I7" s="298" t="s">
        <v>452</v>
      </c>
      <c r="L7" s="293" t="s">
        <v>453</v>
      </c>
      <c r="M7" s="287" t="s">
        <v>454</v>
      </c>
    </row>
    <row r="8" customFormat="false" ht="34" hidden="false" customHeight="false" outlineLevel="0" collapsed="false">
      <c r="A8" s="287" t="s">
        <v>439</v>
      </c>
      <c r="B8" s="287" t="s">
        <v>455</v>
      </c>
      <c r="C8" s="297" t="n">
        <v>1</v>
      </c>
      <c r="D8" s="288" t="s">
        <v>456</v>
      </c>
      <c r="E8" s="289" t="s">
        <v>457</v>
      </c>
      <c r="F8" s="290" t="s">
        <v>418</v>
      </c>
      <c r="G8" s="291" t="s">
        <v>458</v>
      </c>
      <c r="H8" s="297" t="s">
        <v>420</v>
      </c>
      <c r="I8" s="292" t="s">
        <v>459</v>
      </c>
      <c r="L8" s="293" t="s">
        <v>460</v>
      </c>
      <c r="M8" s="287" t="s">
        <v>461</v>
      </c>
    </row>
    <row r="9" customFormat="false" ht="34" hidden="false" customHeight="false" outlineLevel="0" collapsed="false">
      <c r="A9" s="287" t="s">
        <v>462</v>
      </c>
      <c r="B9" s="287" t="s">
        <v>463</v>
      </c>
      <c r="C9" s="297" t="n">
        <v>1</v>
      </c>
      <c r="D9" s="288" t="s">
        <v>456</v>
      </c>
      <c r="E9" s="289" t="s">
        <v>457</v>
      </c>
      <c r="F9" s="290" t="s">
        <v>418</v>
      </c>
      <c r="G9" s="291" t="s">
        <v>458</v>
      </c>
      <c r="H9" s="297" t="s">
        <v>420</v>
      </c>
      <c r="I9" s="292" t="s">
        <v>459</v>
      </c>
      <c r="L9" s="293" t="s">
        <v>460</v>
      </c>
      <c r="M9" s="287" t="s">
        <v>461</v>
      </c>
    </row>
    <row r="10" customFormat="false" ht="34" hidden="false" customHeight="false" outlineLevel="0" collapsed="false">
      <c r="A10" s="287" t="s">
        <v>464</v>
      </c>
      <c r="B10" s="297" t="s">
        <v>465</v>
      </c>
      <c r="C10" s="297" t="n">
        <v>1</v>
      </c>
      <c r="D10" s="288" t="s">
        <v>456</v>
      </c>
      <c r="E10" s="289" t="s">
        <v>457</v>
      </c>
      <c r="F10" s="290" t="s">
        <v>418</v>
      </c>
      <c r="G10" s="291" t="s">
        <v>458</v>
      </c>
      <c r="H10" s="297" t="s">
        <v>420</v>
      </c>
      <c r="I10" s="292" t="s">
        <v>459</v>
      </c>
      <c r="L10" s="293" t="s">
        <v>460</v>
      </c>
      <c r="M10" s="292" t="s">
        <v>466</v>
      </c>
    </row>
    <row r="11" customFormat="false" ht="51" hidden="false" customHeight="false" outlineLevel="0" collapsed="false">
      <c r="A11" s="287" t="s">
        <v>415</v>
      </c>
      <c r="C11" s="297" t="n">
        <v>1</v>
      </c>
      <c r="D11" s="288" t="n">
        <v>0</v>
      </c>
      <c r="E11" s="289" t="s">
        <v>467</v>
      </c>
      <c r="F11" s="289" t="s">
        <v>418</v>
      </c>
      <c r="G11" s="291" t="s">
        <v>419</v>
      </c>
      <c r="H11" s="287" t="s">
        <v>420</v>
      </c>
      <c r="I11" s="298" t="s">
        <v>468</v>
      </c>
      <c r="L11" s="293" t="s">
        <v>469</v>
      </c>
      <c r="M11" s="287" t="s">
        <v>470</v>
      </c>
    </row>
    <row r="12" s="303" customFormat="true" ht="51" hidden="false" customHeight="false" outlineLevel="0" collapsed="false">
      <c r="A12" s="287" t="s">
        <v>471</v>
      </c>
      <c r="B12" s="287"/>
      <c r="C12" s="297" t="n">
        <v>1</v>
      </c>
      <c r="D12" s="288" t="n">
        <v>0</v>
      </c>
      <c r="E12" s="289" t="s">
        <v>467</v>
      </c>
      <c r="F12" s="289" t="s">
        <v>418</v>
      </c>
      <c r="G12" s="291" t="s">
        <v>419</v>
      </c>
      <c r="H12" s="287" t="s">
        <v>420</v>
      </c>
      <c r="I12" s="298" t="s">
        <v>468</v>
      </c>
      <c r="J12" s="292"/>
      <c r="K12" s="292"/>
      <c r="L12" s="293" t="s">
        <v>469</v>
      </c>
      <c r="M12" s="287" t="s">
        <v>470</v>
      </c>
    </row>
    <row r="13" customFormat="false" ht="34" hidden="false" customHeight="false" outlineLevel="0" collapsed="false">
      <c r="A13" s="287" t="s">
        <v>439</v>
      </c>
      <c r="B13" s="287" t="s">
        <v>472</v>
      </c>
      <c r="C13" s="297" t="n">
        <v>2</v>
      </c>
      <c r="D13" s="288" t="s">
        <v>473</v>
      </c>
      <c r="E13" s="289" t="s">
        <v>474</v>
      </c>
      <c r="F13" s="289" t="s">
        <v>418</v>
      </c>
      <c r="G13" s="291" t="s">
        <v>475</v>
      </c>
      <c r="H13" s="287" t="s">
        <v>420</v>
      </c>
      <c r="I13" s="298" t="s">
        <v>476</v>
      </c>
      <c r="L13" s="293" t="s">
        <v>477</v>
      </c>
      <c r="M13" s="287" t="s">
        <v>478</v>
      </c>
    </row>
    <row r="14" customFormat="false" ht="34" hidden="false" customHeight="false" outlineLevel="0" collapsed="false">
      <c r="A14" s="287" t="s">
        <v>462</v>
      </c>
      <c r="B14" s="287" t="s">
        <v>479</v>
      </c>
      <c r="C14" s="297" t="n">
        <v>2</v>
      </c>
      <c r="D14" s="288" t="s">
        <v>480</v>
      </c>
      <c r="E14" s="289" t="s">
        <v>474</v>
      </c>
      <c r="F14" s="289" t="s">
        <v>418</v>
      </c>
      <c r="G14" s="291" t="s">
        <v>481</v>
      </c>
      <c r="H14" s="287" t="s">
        <v>420</v>
      </c>
      <c r="I14" s="298" t="s">
        <v>482</v>
      </c>
      <c r="L14" s="293" t="s">
        <v>483</v>
      </c>
      <c r="M14" s="287" t="s">
        <v>484</v>
      </c>
    </row>
    <row r="15" customFormat="false" ht="34" hidden="false" customHeight="false" outlineLevel="0" collapsed="false">
      <c r="A15" s="287" t="s">
        <v>485</v>
      </c>
      <c r="B15" s="287" t="s">
        <v>486</v>
      </c>
      <c r="C15" s="297" t="n">
        <v>1</v>
      </c>
      <c r="D15" s="299" t="s">
        <v>487</v>
      </c>
      <c r="E15" s="289" t="s">
        <v>488</v>
      </c>
      <c r="F15" s="289" t="s">
        <v>418</v>
      </c>
      <c r="G15" s="291" t="s">
        <v>451</v>
      </c>
      <c r="H15" s="297" t="s">
        <v>420</v>
      </c>
      <c r="I15" s="298" t="s">
        <v>489</v>
      </c>
      <c r="L15" s="293" t="s">
        <v>490</v>
      </c>
      <c r="M15" s="293" t="s">
        <v>491</v>
      </c>
    </row>
    <row r="16" customFormat="false" ht="34" hidden="false" customHeight="false" outlineLevel="0" collapsed="false">
      <c r="A16" s="287" t="s">
        <v>439</v>
      </c>
      <c r="B16" s="287" t="s">
        <v>492</v>
      </c>
      <c r="C16" s="297" t="n">
        <v>1</v>
      </c>
      <c r="D16" s="299" t="s">
        <v>487</v>
      </c>
      <c r="E16" s="289" t="s">
        <v>488</v>
      </c>
      <c r="F16" s="289" t="s">
        <v>418</v>
      </c>
      <c r="G16" s="291" t="s">
        <v>451</v>
      </c>
      <c r="H16" s="297" t="s">
        <v>420</v>
      </c>
      <c r="I16" s="298" t="s">
        <v>489</v>
      </c>
      <c r="L16" s="293" t="s">
        <v>490</v>
      </c>
      <c r="M16" s="287" t="s">
        <v>493</v>
      </c>
    </row>
    <row r="17" customFormat="false" ht="34" hidden="false" customHeight="false" outlineLevel="0" collapsed="false">
      <c r="A17" s="287" t="s">
        <v>464</v>
      </c>
      <c r="B17" s="297" t="s">
        <v>494</v>
      </c>
      <c r="C17" s="297" t="n">
        <v>1</v>
      </c>
      <c r="D17" s="299" t="s">
        <v>487</v>
      </c>
      <c r="E17" s="289" t="s">
        <v>488</v>
      </c>
      <c r="F17" s="289" t="s">
        <v>418</v>
      </c>
      <c r="G17" s="291" t="s">
        <v>451</v>
      </c>
      <c r="H17" s="297" t="s">
        <v>420</v>
      </c>
      <c r="I17" s="298" t="s">
        <v>489</v>
      </c>
      <c r="L17" s="293" t="s">
        <v>490</v>
      </c>
      <c r="M17" s="292" t="s">
        <v>495</v>
      </c>
    </row>
    <row r="18" customFormat="false" ht="34" hidden="false" customHeight="false" outlineLevel="0" collapsed="false">
      <c r="A18" s="287" t="s">
        <v>431</v>
      </c>
      <c r="B18" s="287" t="s">
        <v>496</v>
      </c>
      <c r="C18" s="297" t="n">
        <v>1</v>
      </c>
      <c r="D18" s="299" t="s">
        <v>487</v>
      </c>
      <c r="E18" s="289" t="s">
        <v>488</v>
      </c>
      <c r="F18" s="289" t="s">
        <v>418</v>
      </c>
      <c r="G18" s="291" t="s">
        <v>451</v>
      </c>
      <c r="H18" s="297" t="s">
        <v>420</v>
      </c>
      <c r="I18" s="298" t="s">
        <v>489</v>
      </c>
      <c r="L18" s="293" t="s">
        <v>490</v>
      </c>
      <c r="M18" s="292" t="s">
        <v>497</v>
      </c>
    </row>
    <row r="19" customFormat="false" ht="34" hidden="false" customHeight="false" outlineLevel="0" collapsed="false">
      <c r="A19" s="287" t="s">
        <v>431</v>
      </c>
      <c r="B19" s="287" t="s">
        <v>498</v>
      </c>
      <c r="C19" s="297" t="n">
        <v>1</v>
      </c>
      <c r="D19" s="299" t="s">
        <v>487</v>
      </c>
      <c r="E19" s="289" t="s">
        <v>488</v>
      </c>
      <c r="F19" s="289" t="s">
        <v>418</v>
      </c>
      <c r="G19" s="291" t="s">
        <v>451</v>
      </c>
      <c r="H19" s="297" t="s">
        <v>420</v>
      </c>
      <c r="I19" s="298" t="s">
        <v>489</v>
      </c>
      <c r="L19" s="293" t="s">
        <v>490</v>
      </c>
      <c r="M19" s="292" t="s">
        <v>499</v>
      </c>
    </row>
    <row r="20" customFormat="false" ht="34" hidden="false" customHeight="false" outlineLevel="0" collapsed="false">
      <c r="A20" s="287" t="s">
        <v>431</v>
      </c>
      <c r="B20" s="287" t="s">
        <v>500</v>
      </c>
      <c r="C20" s="297" t="n">
        <v>1</v>
      </c>
      <c r="D20" s="299" t="s">
        <v>487</v>
      </c>
      <c r="E20" s="289" t="s">
        <v>488</v>
      </c>
      <c r="F20" s="289" t="s">
        <v>418</v>
      </c>
      <c r="G20" s="291" t="s">
        <v>451</v>
      </c>
      <c r="H20" s="297" t="s">
        <v>420</v>
      </c>
      <c r="I20" s="298" t="s">
        <v>489</v>
      </c>
      <c r="L20" s="293" t="s">
        <v>490</v>
      </c>
      <c r="M20" s="292" t="s">
        <v>501</v>
      </c>
    </row>
    <row r="21" customFormat="false" ht="34" hidden="false" customHeight="false" outlineLevel="0" collapsed="false">
      <c r="A21" s="287" t="s">
        <v>485</v>
      </c>
      <c r="B21" s="287" t="s">
        <v>502</v>
      </c>
      <c r="C21" s="297" t="n">
        <v>1</v>
      </c>
      <c r="D21" s="288" t="s">
        <v>503</v>
      </c>
      <c r="E21" s="289" t="s">
        <v>152</v>
      </c>
      <c r="F21" s="289" t="s">
        <v>418</v>
      </c>
      <c r="G21" s="291" t="s">
        <v>419</v>
      </c>
      <c r="H21" s="287" t="s">
        <v>420</v>
      </c>
      <c r="I21" s="298" t="s">
        <v>504</v>
      </c>
      <c r="L21" s="293" t="s">
        <v>505</v>
      </c>
      <c r="M21" s="293" t="s">
        <v>491</v>
      </c>
    </row>
    <row r="22" customFormat="false" ht="34" hidden="false" customHeight="false" outlineLevel="0" collapsed="false">
      <c r="A22" s="287" t="s">
        <v>439</v>
      </c>
      <c r="B22" s="297" t="s">
        <v>506</v>
      </c>
      <c r="C22" s="297" t="n">
        <v>1</v>
      </c>
      <c r="D22" s="288" t="s">
        <v>503</v>
      </c>
      <c r="E22" s="289" t="s">
        <v>152</v>
      </c>
      <c r="F22" s="289" t="s">
        <v>418</v>
      </c>
      <c r="G22" s="291" t="s">
        <v>419</v>
      </c>
      <c r="H22" s="287" t="s">
        <v>420</v>
      </c>
      <c r="I22" s="298" t="s">
        <v>504</v>
      </c>
      <c r="L22" s="293" t="s">
        <v>505</v>
      </c>
      <c r="M22" s="287" t="s">
        <v>507</v>
      </c>
    </row>
    <row r="23" customFormat="false" ht="17" hidden="false" customHeight="false" outlineLevel="0" collapsed="false">
      <c r="A23" s="287" t="s">
        <v>508</v>
      </c>
      <c r="B23" s="297" t="s">
        <v>509</v>
      </c>
      <c r="C23" s="297" t="n">
        <v>1</v>
      </c>
      <c r="D23" s="304" t="s">
        <v>510</v>
      </c>
      <c r="E23" s="289" t="s">
        <v>511</v>
      </c>
      <c r="F23" s="289" t="s">
        <v>418</v>
      </c>
      <c r="G23" s="291" t="s">
        <v>451</v>
      </c>
      <c r="H23" s="287" t="s">
        <v>420</v>
      </c>
      <c r="I23" s="298" t="s">
        <v>512</v>
      </c>
      <c r="J23" s="292" t="s">
        <v>513</v>
      </c>
      <c r="L23" s="293" t="s">
        <v>514</v>
      </c>
      <c r="M23" s="287" t="s">
        <v>515</v>
      </c>
      <c r="N23" s="287" t="s">
        <v>516</v>
      </c>
    </row>
    <row r="24" customFormat="false" ht="51" hidden="false" customHeight="false" outlineLevel="0" collapsed="false">
      <c r="A24" s="287" t="s">
        <v>464</v>
      </c>
      <c r="B24" s="297" t="s">
        <v>517</v>
      </c>
      <c r="C24" s="297" t="n">
        <v>1</v>
      </c>
      <c r="D24" s="288" t="s">
        <v>518</v>
      </c>
      <c r="E24" s="289" t="s">
        <v>474</v>
      </c>
      <c r="F24" s="289" t="s">
        <v>519</v>
      </c>
      <c r="G24" s="291" t="s">
        <v>481</v>
      </c>
      <c r="H24" s="297" t="s">
        <v>420</v>
      </c>
      <c r="I24" s="298" t="s">
        <v>520</v>
      </c>
      <c r="L24" s="293" t="s">
        <v>521</v>
      </c>
      <c r="M24" s="287" t="s">
        <v>522</v>
      </c>
    </row>
    <row r="25" customFormat="false" ht="34" hidden="false" customHeight="false" outlineLevel="0" collapsed="false">
      <c r="A25" s="287" t="s">
        <v>485</v>
      </c>
      <c r="B25" s="297"/>
      <c r="C25" s="297" t="n">
        <v>1</v>
      </c>
      <c r="D25" s="288" t="s">
        <v>523</v>
      </c>
      <c r="E25" s="289" t="s">
        <v>524</v>
      </c>
      <c r="F25" s="289" t="s">
        <v>519</v>
      </c>
      <c r="G25" s="291" t="s">
        <v>525</v>
      </c>
      <c r="H25" s="287" t="s">
        <v>526</v>
      </c>
      <c r="I25" s="298" t="s">
        <v>527</v>
      </c>
      <c r="L25" s="293" t="s">
        <v>528</v>
      </c>
      <c r="M25" s="293" t="s">
        <v>529</v>
      </c>
    </row>
    <row r="26" customFormat="false" ht="34" hidden="false" customHeight="false" outlineLevel="0" collapsed="false">
      <c r="A26" s="287" t="s">
        <v>530</v>
      </c>
      <c r="B26" s="297"/>
      <c r="C26" s="297" t="n">
        <v>1</v>
      </c>
      <c r="D26" s="288" t="s">
        <v>531</v>
      </c>
      <c r="E26" s="289" t="s">
        <v>524</v>
      </c>
      <c r="F26" s="289" t="s">
        <v>418</v>
      </c>
      <c r="G26" s="301" t="s">
        <v>532</v>
      </c>
      <c r="H26" s="287" t="s">
        <v>420</v>
      </c>
      <c r="I26" s="298" t="s">
        <v>533</v>
      </c>
      <c r="L26" s="293" t="s">
        <v>534</v>
      </c>
      <c r="M26" s="287" t="s">
        <v>535</v>
      </c>
    </row>
    <row r="27" customFormat="false" ht="17" hidden="false" customHeight="false" outlineLevel="0" collapsed="false">
      <c r="A27" s="287" t="s">
        <v>536</v>
      </c>
      <c r="C27" s="297" t="n">
        <v>1</v>
      </c>
      <c r="D27" s="288" t="s">
        <v>537</v>
      </c>
      <c r="E27" s="289" t="s">
        <v>524</v>
      </c>
      <c r="F27" s="289" t="s">
        <v>418</v>
      </c>
      <c r="G27" s="291" t="s">
        <v>538</v>
      </c>
      <c r="H27" s="287" t="s">
        <v>420</v>
      </c>
      <c r="I27" s="298" t="s">
        <v>539</v>
      </c>
      <c r="L27" s="293" t="s">
        <v>540</v>
      </c>
      <c r="M27" s="293" t="s">
        <v>541</v>
      </c>
      <c r="N27" s="287" t="s">
        <v>542</v>
      </c>
    </row>
    <row r="28" customFormat="false" ht="17" hidden="false" customHeight="false" outlineLevel="0" collapsed="false">
      <c r="A28" s="287" t="s">
        <v>415</v>
      </c>
      <c r="C28" s="297" t="n">
        <v>1</v>
      </c>
      <c r="D28" s="288" t="s">
        <v>543</v>
      </c>
      <c r="E28" s="289" t="s">
        <v>544</v>
      </c>
      <c r="F28" s="289" t="s">
        <v>418</v>
      </c>
      <c r="G28" s="291" t="s">
        <v>545</v>
      </c>
      <c r="H28" s="287" t="s">
        <v>420</v>
      </c>
      <c r="I28" s="298" t="s">
        <v>546</v>
      </c>
      <c r="L28" s="293" t="s">
        <v>547</v>
      </c>
      <c r="M28" s="287" t="s">
        <v>548</v>
      </c>
    </row>
    <row r="29" s="297" customFormat="true" ht="17" hidden="false" customHeight="false" outlineLevel="0" collapsed="false">
      <c r="A29" s="287" t="s">
        <v>439</v>
      </c>
      <c r="B29" s="287" t="s">
        <v>549</v>
      </c>
      <c r="C29" s="297" t="n">
        <v>1</v>
      </c>
      <c r="D29" s="288" t="s">
        <v>550</v>
      </c>
      <c r="E29" s="289" t="s">
        <v>551</v>
      </c>
      <c r="F29" s="289" t="s">
        <v>418</v>
      </c>
      <c r="G29" s="291" t="s">
        <v>552</v>
      </c>
      <c r="H29" s="287" t="s">
        <v>420</v>
      </c>
      <c r="I29" s="298" t="s">
        <v>553</v>
      </c>
      <c r="J29" s="292"/>
      <c r="K29" s="292"/>
      <c r="L29" s="293" t="s">
        <v>554</v>
      </c>
      <c r="M29" s="292" t="s">
        <v>555</v>
      </c>
    </row>
    <row r="30" s="297" customFormat="true" ht="34" hidden="false" customHeight="false" outlineLevel="0" collapsed="false">
      <c r="A30" s="287" t="s">
        <v>471</v>
      </c>
      <c r="C30" s="297" t="n">
        <v>1</v>
      </c>
      <c r="D30" s="288" t="s">
        <v>526</v>
      </c>
      <c r="E30" s="289" t="s">
        <v>524</v>
      </c>
      <c r="F30" s="289" t="s">
        <v>519</v>
      </c>
      <c r="G30" s="291" t="s">
        <v>556</v>
      </c>
      <c r="H30" s="287" t="s">
        <v>526</v>
      </c>
      <c r="I30" s="298" t="s">
        <v>557</v>
      </c>
      <c r="J30" s="292"/>
      <c r="K30" s="292"/>
      <c r="L30" s="293" t="s">
        <v>558</v>
      </c>
      <c r="M30" s="293" t="s">
        <v>559</v>
      </c>
    </row>
    <row r="31" customFormat="false" ht="34" hidden="false" customHeight="false" outlineLevel="0" collapsed="false">
      <c r="A31" s="287" t="s">
        <v>424</v>
      </c>
      <c r="B31" s="297"/>
      <c r="C31" s="297" t="n">
        <v>1</v>
      </c>
      <c r="D31" s="288" t="s">
        <v>526</v>
      </c>
      <c r="E31" s="289" t="s">
        <v>524</v>
      </c>
      <c r="F31" s="289" t="s">
        <v>519</v>
      </c>
      <c r="G31" s="291" t="s">
        <v>560</v>
      </c>
      <c r="H31" s="287" t="s">
        <v>526</v>
      </c>
      <c r="I31" s="298" t="s">
        <v>561</v>
      </c>
      <c r="L31" s="293" t="s">
        <v>562</v>
      </c>
      <c r="M31" s="287" t="s">
        <v>563</v>
      </c>
    </row>
    <row r="32" customFormat="false" ht="17" hidden="false" customHeight="false" outlineLevel="0" collapsed="false">
      <c r="A32" s="287" t="s">
        <v>424</v>
      </c>
      <c r="B32" s="297" t="s">
        <v>564</v>
      </c>
      <c r="C32" s="297" t="n">
        <v>1</v>
      </c>
      <c r="D32" s="288" t="s">
        <v>565</v>
      </c>
      <c r="E32" s="289" t="s">
        <v>566</v>
      </c>
      <c r="F32" s="289" t="s">
        <v>519</v>
      </c>
      <c r="G32" s="287" t="s">
        <v>567</v>
      </c>
      <c r="H32" s="287" t="s">
        <v>420</v>
      </c>
      <c r="I32" s="298" t="s">
        <v>568</v>
      </c>
      <c r="L32" s="293" t="s">
        <v>569</v>
      </c>
      <c r="M32" s="287" t="s">
        <v>570</v>
      </c>
    </row>
    <row r="33" customFormat="false" ht="51" hidden="false" customHeight="false" outlineLevel="0" collapsed="false">
      <c r="A33" s="287" t="s">
        <v>485</v>
      </c>
      <c r="B33" s="297"/>
      <c r="C33" s="297" t="n">
        <v>1</v>
      </c>
      <c r="D33" s="288" t="s">
        <v>571</v>
      </c>
      <c r="E33" s="289" t="s">
        <v>524</v>
      </c>
      <c r="F33" s="289" t="s">
        <v>418</v>
      </c>
      <c r="G33" s="291" t="s">
        <v>572</v>
      </c>
      <c r="H33" s="287" t="s">
        <v>420</v>
      </c>
      <c r="I33" s="298" t="s">
        <v>573</v>
      </c>
      <c r="L33" s="293" t="s">
        <v>574</v>
      </c>
      <c r="M33" s="287" t="s">
        <v>575</v>
      </c>
    </row>
    <row r="34" customFormat="false" ht="51" hidden="false" customHeight="false" outlineLevel="0" collapsed="false">
      <c r="A34" s="287" t="s">
        <v>508</v>
      </c>
      <c r="B34" s="297"/>
      <c r="C34" s="297" t="n">
        <v>1</v>
      </c>
      <c r="D34" s="288" t="s">
        <v>571</v>
      </c>
      <c r="E34" s="289" t="s">
        <v>524</v>
      </c>
      <c r="F34" s="289" t="s">
        <v>418</v>
      </c>
      <c r="G34" s="291" t="s">
        <v>572</v>
      </c>
      <c r="H34" s="287" t="s">
        <v>420</v>
      </c>
      <c r="I34" s="298" t="s">
        <v>573</v>
      </c>
      <c r="L34" s="293" t="s">
        <v>574</v>
      </c>
      <c r="M34" s="287" t="s">
        <v>576</v>
      </c>
    </row>
    <row r="35" customFormat="false" ht="34" hidden="false" customHeight="false" outlineLevel="0" collapsed="false">
      <c r="A35" s="287" t="s">
        <v>508</v>
      </c>
      <c r="B35" s="297"/>
      <c r="C35" s="297" t="n">
        <v>1</v>
      </c>
      <c r="D35" s="288" t="s">
        <v>577</v>
      </c>
      <c r="E35" s="289" t="s">
        <v>524</v>
      </c>
      <c r="F35" s="289" t="s">
        <v>418</v>
      </c>
      <c r="G35" s="301"/>
      <c r="H35" s="287" t="s">
        <v>420</v>
      </c>
      <c r="I35" s="298" t="s">
        <v>578</v>
      </c>
      <c r="L35" s="293" t="s">
        <v>579</v>
      </c>
      <c r="M35" s="287" t="s">
        <v>580</v>
      </c>
    </row>
    <row r="36" customFormat="false" ht="17" hidden="false" customHeight="false" outlineLevel="0" collapsed="false">
      <c r="A36" s="287" t="s">
        <v>581</v>
      </c>
      <c r="B36" s="297"/>
      <c r="C36" s="297" t="n">
        <v>1</v>
      </c>
      <c r="D36" s="288" t="s">
        <v>582</v>
      </c>
      <c r="E36" s="289" t="s">
        <v>524</v>
      </c>
      <c r="F36" s="289" t="s">
        <v>519</v>
      </c>
      <c r="G36" s="291" t="s">
        <v>583</v>
      </c>
      <c r="H36" s="287" t="s">
        <v>420</v>
      </c>
      <c r="I36" s="298" t="s">
        <v>584</v>
      </c>
      <c r="L36" s="293" t="s">
        <v>585</v>
      </c>
      <c r="M36" s="287" t="s">
        <v>586</v>
      </c>
    </row>
    <row r="37" customFormat="false" ht="34" hidden="false" customHeight="false" outlineLevel="0" collapsed="false">
      <c r="A37" s="287" t="s">
        <v>485</v>
      </c>
      <c r="C37" s="297"/>
      <c r="D37" s="299" t="s">
        <v>315</v>
      </c>
      <c r="E37" s="289" t="s">
        <v>587</v>
      </c>
      <c r="F37" s="289" t="s">
        <v>519</v>
      </c>
      <c r="G37" s="291" t="s">
        <v>588</v>
      </c>
      <c r="H37" s="287" t="s">
        <v>420</v>
      </c>
      <c r="I37" s="298" t="s">
        <v>589</v>
      </c>
      <c r="L37" s="293" t="s">
        <v>590</v>
      </c>
      <c r="M37" s="293" t="s">
        <v>591</v>
      </c>
    </row>
    <row r="38" customFormat="false" ht="34" hidden="false" customHeight="false" outlineLevel="0" collapsed="false">
      <c r="A38" s="287" t="s">
        <v>439</v>
      </c>
      <c r="C38" s="297" t="n">
        <v>2</v>
      </c>
      <c r="D38" s="299" t="s">
        <v>315</v>
      </c>
      <c r="E38" s="289" t="s">
        <v>587</v>
      </c>
      <c r="F38" s="289" t="s">
        <v>519</v>
      </c>
      <c r="G38" s="291" t="s">
        <v>588</v>
      </c>
      <c r="H38" s="287" t="s">
        <v>420</v>
      </c>
      <c r="I38" s="298" t="s">
        <v>589</v>
      </c>
      <c r="L38" s="293" t="s">
        <v>590</v>
      </c>
      <c r="M38" s="293" t="s">
        <v>592</v>
      </c>
    </row>
    <row r="39" customFormat="false" ht="34" hidden="false" customHeight="false" outlineLevel="0" collapsed="false">
      <c r="A39" s="287" t="s">
        <v>439</v>
      </c>
      <c r="C39" s="287" t="n">
        <v>1</v>
      </c>
      <c r="D39" s="288" t="s">
        <v>593</v>
      </c>
      <c r="E39" s="289" t="s">
        <v>594</v>
      </c>
      <c r="F39" s="289" t="s">
        <v>519</v>
      </c>
      <c r="G39" s="291" t="s">
        <v>595</v>
      </c>
      <c r="H39" s="287" t="s">
        <v>420</v>
      </c>
      <c r="I39" s="298" t="s">
        <v>596</v>
      </c>
      <c r="L39" s="293" t="s">
        <v>597</v>
      </c>
      <c r="M39" s="293" t="s">
        <v>598</v>
      </c>
    </row>
    <row r="40" customFormat="false" ht="68" hidden="false" customHeight="false" outlineLevel="0" collapsed="false">
      <c r="A40" s="287" t="s">
        <v>599</v>
      </c>
      <c r="C40" s="287" t="n">
        <v>1</v>
      </c>
      <c r="D40" s="288" t="s">
        <v>526</v>
      </c>
      <c r="E40" s="289" t="s">
        <v>64</v>
      </c>
      <c r="F40" s="290" t="s">
        <v>418</v>
      </c>
      <c r="G40" s="291" t="s">
        <v>526</v>
      </c>
      <c r="H40" s="287" t="s">
        <v>600</v>
      </c>
      <c r="I40" s="292" t="s">
        <v>601</v>
      </c>
      <c r="L40" s="305" t="s">
        <v>602</v>
      </c>
      <c r="M40" s="292" t="s">
        <v>603</v>
      </c>
    </row>
    <row r="41" customFormat="false" ht="51" hidden="false" customHeight="false" outlineLevel="0" collapsed="false">
      <c r="A41" s="287" t="s">
        <v>415</v>
      </c>
      <c r="C41" s="287" t="n">
        <v>1</v>
      </c>
      <c r="D41" s="288" t="n">
        <v>0.02</v>
      </c>
      <c r="E41" s="289" t="s">
        <v>467</v>
      </c>
      <c r="F41" s="289" t="s">
        <v>418</v>
      </c>
      <c r="G41" s="291" t="s">
        <v>604</v>
      </c>
      <c r="H41" s="287" t="s">
        <v>420</v>
      </c>
      <c r="I41" s="298" t="s">
        <v>605</v>
      </c>
      <c r="L41" s="293" t="s">
        <v>606</v>
      </c>
      <c r="M41" s="293" t="s">
        <v>607</v>
      </c>
    </row>
    <row r="42" customFormat="false" ht="34" hidden="false" customHeight="false" outlineLevel="0" collapsed="false">
      <c r="A42" s="287" t="s">
        <v>471</v>
      </c>
      <c r="B42" s="297"/>
      <c r="C42" s="297" t="n">
        <v>1</v>
      </c>
      <c r="D42" s="288" t="s">
        <v>608</v>
      </c>
      <c r="E42" s="289" t="s">
        <v>609</v>
      </c>
      <c r="F42" s="290" t="s">
        <v>519</v>
      </c>
      <c r="G42" s="287" t="s">
        <v>610</v>
      </c>
      <c r="H42" s="287" t="s">
        <v>420</v>
      </c>
      <c r="I42" s="298" t="s">
        <v>611</v>
      </c>
      <c r="J42" s="298"/>
      <c r="L42" s="293" t="s">
        <v>612</v>
      </c>
      <c r="M42" s="287" t="s">
        <v>613</v>
      </c>
    </row>
    <row r="43" customFormat="false" ht="34" hidden="false" customHeight="false" outlineLevel="0" collapsed="false">
      <c r="A43" s="287" t="s">
        <v>424</v>
      </c>
      <c r="B43" s="297"/>
      <c r="C43" s="297" t="n">
        <v>1</v>
      </c>
      <c r="D43" s="288" t="s">
        <v>608</v>
      </c>
      <c r="E43" s="289" t="s">
        <v>609</v>
      </c>
      <c r="F43" s="290" t="s">
        <v>519</v>
      </c>
      <c r="G43" s="287" t="s">
        <v>610</v>
      </c>
      <c r="H43" s="287" t="s">
        <v>420</v>
      </c>
      <c r="I43" s="298" t="s">
        <v>611</v>
      </c>
      <c r="J43" s="298"/>
      <c r="L43" s="293" t="s">
        <v>612</v>
      </c>
      <c r="M43" s="287" t="s">
        <v>614</v>
      </c>
    </row>
    <row r="44" customFormat="false" ht="34" hidden="false" customHeight="false" outlineLevel="0" collapsed="false">
      <c r="A44" s="287" t="s">
        <v>464</v>
      </c>
      <c r="B44" s="297" t="s">
        <v>615</v>
      </c>
      <c r="C44" s="297" t="n">
        <v>1</v>
      </c>
      <c r="D44" s="288" t="s">
        <v>616</v>
      </c>
      <c r="E44" s="289" t="s">
        <v>617</v>
      </c>
      <c r="F44" s="289" t="s">
        <v>519</v>
      </c>
      <c r="G44" s="291" t="s">
        <v>588</v>
      </c>
      <c r="H44" s="297" t="s">
        <v>420</v>
      </c>
      <c r="I44" s="298" t="s">
        <v>616</v>
      </c>
      <c r="L44" s="293" t="s">
        <v>618</v>
      </c>
      <c r="M44" s="287" t="s">
        <v>619</v>
      </c>
    </row>
    <row r="45" s="297" customFormat="true" ht="17" hidden="false" customHeight="false" outlineLevel="0" collapsed="false">
      <c r="A45" s="287" t="s">
        <v>415</v>
      </c>
      <c r="B45" s="287"/>
      <c r="C45" s="297" t="n">
        <v>1</v>
      </c>
      <c r="D45" s="288" t="s">
        <v>620</v>
      </c>
      <c r="E45" s="289" t="s">
        <v>621</v>
      </c>
      <c r="F45" s="289" t="s">
        <v>418</v>
      </c>
      <c r="G45" s="291" t="s">
        <v>419</v>
      </c>
      <c r="H45" s="287" t="s">
        <v>420</v>
      </c>
      <c r="I45" s="298" t="s">
        <v>622</v>
      </c>
      <c r="J45" s="287" t="s">
        <v>623</v>
      </c>
      <c r="K45" s="292"/>
      <c r="L45" s="287" t="s">
        <v>624</v>
      </c>
      <c r="M45" s="293" t="s">
        <v>625</v>
      </c>
    </row>
    <row r="46" customFormat="false" ht="17" hidden="false" customHeight="false" outlineLevel="0" collapsed="false">
      <c r="A46" s="287" t="s">
        <v>536</v>
      </c>
      <c r="B46" s="297" t="s">
        <v>626</v>
      </c>
      <c r="C46" s="297" t="n">
        <v>1</v>
      </c>
      <c r="D46" s="288" t="s">
        <v>620</v>
      </c>
      <c r="E46" s="289" t="s">
        <v>621</v>
      </c>
      <c r="F46" s="289" t="s">
        <v>418</v>
      </c>
      <c r="G46" s="291" t="s">
        <v>419</v>
      </c>
      <c r="H46" s="287" t="s">
        <v>420</v>
      </c>
      <c r="I46" s="298" t="s">
        <v>622</v>
      </c>
      <c r="J46" s="287" t="s">
        <v>623</v>
      </c>
      <c r="L46" s="287" t="s">
        <v>624</v>
      </c>
      <c r="M46" s="293" t="s">
        <v>627</v>
      </c>
    </row>
    <row r="47" customFormat="false" ht="51" hidden="false" customHeight="false" outlineLevel="0" collapsed="false">
      <c r="A47" s="287" t="s">
        <v>530</v>
      </c>
      <c r="B47" s="297" t="s">
        <v>628</v>
      </c>
      <c r="C47" s="297" t="n">
        <v>1</v>
      </c>
      <c r="D47" s="288" t="s">
        <v>620</v>
      </c>
      <c r="E47" s="289" t="s">
        <v>621</v>
      </c>
      <c r="F47" s="289" t="s">
        <v>418</v>
      </c>
      <c r="G47" s="291" t="s">
        <v>419</v>
      </c>
      <c r="H47" s="297" t="s">
        <v>420</v>
      </c>
      <c r="I47" s="298" t="s">
        <v>622</v>
      </c>
      <c r="J47" s="287" t="s">
        <v>623</v>
      </c>
      <c r="L47" s="293" t="s">
        <v>629</v>
      </c>
      <c r="M47" s="287" t="s">
        <v>630</v>
      </c>
    </row>
    <row r="48" customFormat="false" ht="17" hidden="false" customHeight="false" outlineLevel="0" collapsed="false">
      <c r="A48" s="287" t="s">
        <v>431</v>
      </c>
      <c r="B48" s="287" t="s">
        <v>631</v>
      </c>
      <c r="C48" s="287" t="n">
        <v>1</v>
      </c>
      <c r="D48" s="288" t="s">
        <v>620</v>
      </c>
      <c r="E48" s="289" t="s">
        <v>621</v>
      </c>
      <c r="F48" s="290" t="s">
        <v>418</v>
      </c>
      <c r="G48" s="291" t="s">
        <v>419</v>
      </c>
      <c r="H48" s="287" t="s">
        <v>420</v>
      </c>
      <c r="I48" s="292" t="s">
        <v>622</v>
      </c>
      <c r="J48" s="287" t="s">
        <v>623</v>
      </c>
      <c r="L48" s="293" t="s">
        <v>624</v>
      </c>
      <c r="M48" s="292" t="s">
        <v>632</v>
      </c>
    </row>
    <row r="49" customFormat="false" ht="17" hidden="false" customHeight="false" outlineLevel="0" collapsed="false">
      <c r="A49" s="287" t="s">
        <v>431</v>
      </c>
      <c r="B49" s="287" t="s">
        <v>633</v>
      </c>
      <c r="C49" s="287" t="n">
        <v>1</v>
      </c>
      <c r="D49" s="288" t="s">
        <v>620</v>
      </c>
      <c r="E49" s="289" t="s">
        <v>621</v>
      </c>
      <c r="F49" s="290" t="s">
        <v>418</v>
      </c>
      <c r="G49" s="291" t="s">
        <v>419</v>
      </c>
      <c r="H49" s="287" t="s">
        <v>420</v>
      </c>
      <c r="I49" s="292" t="s">
        <v>622</v>
      </c>
      <c r="J49" s="287" t="s">
        <v>623</v>
      </c>
      <c r="L49" s="293" t="s">
        <v>624</v>
      </c>
      <c r="M49" s="292" t="s">
        <v>634</v>
      </c>
    </row>
    <row r="50" customFormat="false" ht="17" hidden="false" customHeight="false" outlineLevel="0" collapsed="false">
      <c r="A50" s="287" t="s">
        <v>431</v>
      </c>
      <c r="B50" s="287" t="s">
        <v>635</v>
      </c>
      <c r="C50" s="287" t="n">
        <v>1</v>
      </c>
      <c r="D50" s="288" t="s">
        <v>620</v>
      </c>
      <c r="E50" s="289" t="s">
        <v>621</v>
      </c>
      <c r="F50" s="290" t="s">
        <v>418</v>
      </c>
      <c r="G50" s="291" t="s">
        <v>419</v>
      </c>
      <c r="H50" s="287" t="s">
        <v>420</v>
      </c>
      <c r="I50" s="292" t="s">
        <v>622</v>
      </c>
      <c r="J50" s="287" t="s">
        <v>623</v>
      </c>
      <c r="L50" s="293" t="s">
        <v>624</v>
      </c>
      <c r="M50" s="292" t="s">
        <v>636</v>
      </c>
    </row>
    <row r="51" customFormat="false" ht="17" hidden="false" customHeight="false" outlineLevel="0" collapsed="false">
      <c r="A51" s="287" t="s">
        <v>424</v>
      </c>
      <c r="B51" s="297" t="s">
        <v>637</v>
      </c>
      <c r="C51" s="297" t="n">
        <v>1</v>
      </c>
      <c r="D51" s="288" t="n">
        <v>10</v>
      </c>
      <c r="E51" s="289" t="s">
        <v>638</v>
      </c>
      <c r="F51" s="290" t="s">
        <v>519</v>
      </c>
      <c r="G51" s="291" t="s">
        <v>419</v>
      </c>
      <c r="H51" s="297" t="s">
        <v>420</v>
      </c>
      <c r="I51" s="292" t="s">
        <v>639</v>
      </c>
      <c r="L51" s="293" t="s">
        <v>640</v>
      </c>
      <c r="M51" s="287" t="s">
        <v>641</v>
      </c>
    </row>
    <row r="52" customFormat="false" ht="16" hidden="false" customHeight="false" outlineLevel="0" collapsed="false">
      <c r="A52" s="287" t="s">
        <v>439</v>
      </c>
      <c r="B52" s="287" t="s">
        <v>642</v>
      </c>
      <c r="C52" s="297" t="n">
        <v>2</v>
      </c>
      <c r="D52" s="288" t="n">
        <v>10</v>
      </c>
      <c r="E52" s="289" t="s">
        <v>643</v>
      </c>
      <c r="F52" s="289" t="s">
        <v>418</v>
      </c>
      <c r="G52" s="291" t="s">
        <v>451</v>
      </c>
      <c r="H52" s="287" t="s">
        <v>420</v>
      </c>
      <c r="I52" s="298" t="s">
        <v>644</v>
      </c>
      <c r="L52" s="303" t="s">
        <v>645</v>
      </c>
      <c r="M52" s="287" t="s">
        <v>646</v>
      </c>
    </row>
    <row r="53" s="297" customFormat="true" ht="17" hidden="false" customHeight="false" outlineLevel="0" collapsed="false">
      <c r="A53" s="287" t="s">
        <v>424</v>
      </c>
      <c r="C53" s="297" t="n">
        <v>1</v>
      </c>
      <c r="D53" s="288" t="s">
        <v>647</v>
      </c>
      <c r="E53" s="289" t="s">
        <v>648</v>
      </c>
      <c r="F53" s="289" t="s">
        <v>418</v>
      </c>
      <c r="G53" s="291" t="s">
        <v>419</v>
      </c>
      <c r="H53" s="287" t="s">
        <v>420</v>
      </c>
      <c r="I53" s="298" t="s">
        <v>649</v>
      </c>
      <c r="J53" s="287" t="s">
        <v>650</v>
      </c>
      <c r="K53" s="292"/>
      <c r="L53" s="293" t="s">
        <v>651</v>
      </c>
      <c r="M53" s="287" t="s">
        <v>652</v>
      </c>
    </row>
    <row r="54" customFormat="false" ht="17" hidden="false" customHeight="false" outlineLevel="0" collapsed="false">
      <c r="A54" s="287" t="s">
        <v>424</v>
      </c>
      <c r="B54" s="297"/>
      <c r="C54" s="297" t="n">
        <v>1</v>
      </c>
      <c r="D54" s="288" t="s">
        <v>647</v>
      </c>
      <c r="E54" s="289" t="s">
        <v>648</v>
      </c>
      <c r="F54" s="289" t="s">
        <v>418</v>
      </c>
      <c r="G54" s="291" t="s">
        <v>419</v>
      </c>
      <c r="H54" s="287" t="s">
        <v>420</v>
      </c>
      <c r="I54" s="298" t="s">
        <v>649</v>
      </c>
      <c r="J54" s="287" t="s">
        <v>650</v>
      </c>
      <c r="L54" s="293" t="s">
        <v>651</v>
      </c>
      <c r="M54" s="287" t="s">
        <v>652</v>
      </c>
    </row>
    <row r="55" customFormat="false" ht="16" hidden="false" customHeight="false" outlineLevel="0" collapsed="false">
      <c r="A55" s="287" t="s">
        <v>431</v>
      </c>
      <c r="C55" s="287" t="n">
        <v>1</v>
      </c>
      <c r="D55" s="288" t="s">
        <v>647</v>
      </c>
      <c r="E55" s="289" t="s">
        <v>648</v>
      </c>
      <c r="F55" s="290" t="s">
        <v>418</v>
      </c>
      <c r="G55" s="291" t="s">
        <v>419</v>
      </c>
      <c r="H55" s="287" t="s">
        <v>420</v>
      </c>
      <c r="I55" s="287" t="s">
        <v>649</v>
      </c>
      <c r="J55" s="287" t="s">
        <v>650</v>
      </c>
      <c r="L55" s="287" t="s">
        <v>651</v>
      </c>
      <c r="M55" s="292" t="s">
        <v>653</v>
      </c>
    </row>
    <row r="56" customFormat="false" ht="17" hidden="false" customHeight="false" outlineLevel="0" collapsed="false">
      <c r="A56" s="287" t="s">
        <v>471</v>
      </c>
      <c r="B56" s="297" t="s">
        <v>654</v>
      </c>
      <c r="C56" s="297" t="n">
        <v>1</v>
      </c>
      <c r="D56" s="288" t="s">
        <v>655</v>
      </c>
      <c r="E56" s="289" t="s">
        <v>656</v>
      </c>
      <c r="F56" s="290" t="s">
        <v>519</v>
      </c>
      <c r="G56" s="291" t="s">
        <v>419</v>
      </c>
      <c r="H56" s="297" t="s">
        <v>420</v>
      </c>
      <c r="I56" s="292" t="s">
        <v>657</v>
      </c>
      <c r="L56" s="293" t="s">
        <v>658</v>
      </c>
      <c r="M56" s="287" t="s">
        <v>659</v>
      </c>
    </row>
    <row r="57" customFormat="false" ht="34" hidden="false" customHeight="false" outlineLevel="0" collapsed="false">
      <c r="A57" s="287" t="s">
        <v>485</v>
      </c>
      <c r="C57" s="287" t="n">
        <v>1</v>
      </c>
      <c r="D57" s="288" t="s">
        <v>518</v>
      </c>
      <c r="E57" s="289" t="s">
        <v>474</v>
      </c>
      <c r="F57" s="289" t="s">
        <v>418</v>
      </c>
      <c r="G57" s="291" t="s">
        <v>660</v>
      </c>
      <c r="H57" s="287" t="s">
        <v>420</v>
      </c>
      <c r="I57" s="298" t="s">
        <v>661</v>
      </c>
      <c r="L57" s="293" t="s">
        <v>662</v>
      </c>
      <c r="M57" s="293" t="s">
        <v>663</v>
      </c>
    </row>
    <row r="58" customFormat="false" ht="51" hidden="false" customHeight="false" outlineLevel="0" collapsed="false">
      <c r="A58" s="287" t="s">
        <v>439</v>
      </c>
      <c r="B58" s="287" t="s">
        <v>664</v>
      </c>
      <c r="C58" s="297" t="n">
        <v>1</v>
      </c>
      <c r="D58" s="288" t="n">
        <v>0.47</v>
      </c>
      <c r="E58" s="289" t="s">
        <v>665</v>
      </c>
      <c r="F58" s="289" t="s">
        <v>418</v>
      </c>
      <c r="G58" s="291" t="s">
        <v>419</v>
      </c>
      <c r="H58" s="287" t="s">
        <v>420</v>
      </c>
      <c r="I58" s="298" t="s">
        <v>666</v>
      </c>
      <c r="L58" s="293" t="s">
        <v>667</v>
      </c>
      <c r="M58" s="287" t="s">
        <v>668</v>
      </c>
    </row>
    <row r="59" customFormat="false" ht="17" hidden="false" customHeight="false" outlineLevel="0" collapsed="false">
      <c r="A59" s="287" t="s">
        <v>431</v>
      </c>
      <c r="C59" s="287" t="n">
        <v>1</v>
      </c>
      <c r="D59" s="288" t="s">
        <v>669</v>
      </c>
      <c r="E59" s="289" t="s">
        <v>670</v>
      </c>
      <c r="F59" s="290" t="s">
        <v>519</v>
      </c>
      <c r="G59" s="291" t="s">
        <v>419</v>
      </c>
      <c r="H59" s="287" t="s">
        <v>420</v>
      </c>
      <c r="I59" s="292" t="s">
        <v>671</v>
      </c>
      <c r="L59" s="293" t="s">
        <v>672</v>
      </c>
      <c r="M59" s="292" t="s">
        <v>673</v>
      </c>
    </row>
    <row r="60" customFormat="false" ht="51" hidden="false" customHeight="false" outlineLevel="0" collapsed="false">
      <c r="A60" s="287" t="s">
        <v>431</v>
      </c>
      <c r="B60" s="287" t="s">
        <v>674</v>
      </c>
      <c r="C60" s="287" t="n">
        <v>1</v>
      </c>
      <c r="D60" s="288" t="s">
        <v>675</v>
      </c>
      <c r="E60" s="289" t="s">
        <v>676</v>
      </c>
      <c r="F60" s="290" t="s">
        <v>418</v>
      </c>
      <c r="G60" s="291" t="s">
        <v>419</v>
      </c>
      <c r="H60" s="287" t="s">
        <v>420</v>
      </c>
      <c r="I60" s="292" t="s">
        <v>677</v>
      </c>
      <c r="L60" s="305" t="s">
        <v>678</v>
      </c>
      <c r="M60" s="292" t="s">
        <v>679</v>
      </c>
    </row>
    <row r="61" customFormat="false" ht="17" hidden="false" customHeight="false" outlineLevel="0" collapsed="false">
      <c r="A61" s="287" t="s">
        <v>485</v>
      </c>
      <c r="C61" s="297" t="n">
        <v>2</v>
      </c>
      <c r="D61" s="288" t="n">
        <v>499</v>
      </c>
      <c r="E61" s="289" t="s">
        <v>680</v>
      </c>
      <c r="F61" s="289" t="s">
        <v>519</v>
      </c>
      <c r="G61" s="291" t="s">
        <v>419</v>
      </c>
      <c r="H61" s="287" t="s">
        <v>420</v>
      </c>
      <c r="I61" s="298" t="s">
        <v>681</v>
      </c>
      <c r="L61" s="287" t="s">
        <v>682</v>
      </c>
      <c r="M61" s="293" t="s">
        <v>683</v>
      </c>
    </row>
    <row r="62" customFormat="false" ht="51" hidden="false" customHeight="false" outlineLevel="0" collapsed="false">
      <c r="A62" s="287" t="s">
        <v>439</v>
      </c>
      <c r="C62" s="287" t="n">
        <v>1</v>
      </c>
      <c r="D62" s="288" t="s">
        <v>684</v>
      </c>
      <c r="E62" s="289" t="s">
        <v>685</v>
      </c>
      <c r="F62" s="289" t="s">
        <v>418</v>
      </c>
      <c r="G62" s="291" t="s">
        <v>419</v>
      </c>
      <c r="H62" s="287" t="s">
        <v>420</v>
      </c>
      <c r="I62" s="295" t="s">
        <v>686</v>
      </c>
      <c r="J62" s="296"/>
      <c r="L62" s="293" t="s">
        <v>687</v>
      </c>
      <c r="M62" s="287" t="s">
        <v>688</v>
      </c>
    </row>
    <row r="63" customFormat="false" ht="51" hidden="false" customHeight="false" outlineLevel="0" collapsed="false">
      <c r="A63" s="287" t="s">
        <v>415</v>
      </c>
      <c r="C63" s="287" t="n">
        <v>1</v>
      </c>
      <c r="D63" s="288" t="s">
        <v>689</v>
      </c>
      <c r="E63" s="289" t="s">
        <v>690</v>
      </c>
      <c r="F63" s="289" t="s">
        <v>418</v>
      </c>
      <c r="G63" s="291" t="s">
        <v>419</v>
      </c>
      <c r="H63" s="287" t="s">
        <v>420</v>
      </c>
      <c r="I63" s="295" t="s">
        <v>691</v>
      </c>
      <c r="J63" s="296"/>
      <c r="L63" s="293" t="s">
        <v>692</v>
      </c>
      <c r="M63" s="287" t="s">
        <v>693</v>
      </c>
    </row>
    <row r="64" customFormat="false" ht="17" hidden="false" customHeight="false" outlineLevel="0" collapsed="false">
      <c r="A64" s="287" t="s">
        <v>431</v>
      </c>
      <c r="C64" s="287" t="n">
        <v>1</v>
      </c>
      <c r="D64" s="288" t="s">
        <v>694</v>
      </c>
      <c r="E64" s="289" t="s">
        <v>594</v>
      </c>
      <c r="F64" s="290" t="s">
        <v>519</v>
      </c>
      <c r="G64" s="291" t="s">
        <v>695</v>
      </c>
      <c r="H64" s="287" t="s">
        <v>696</v>
      </c>
      <c r="I64" s="292" t="s">
        <v>697</v>
      </c>
      <c r="L64" s="293" t="s">
        <v>698</v>
      </c>
      <c r="M64" s="292" t="s">
        <v>699</v>
      </c>
    </row>
    <row r="65" customFormat="false" ht="51" hidden="false" customHeight="false" outlineLevel="0" collapsed="false">
      <c r="A65" s="287" t="s">
        <v>471</v>
      </c>
      <c r="B65" s="297" t="s">
        <v>700</v>
      </c>
      <c r="C65" s="297" t="n">
        <v>1</v>
      </c>
      <c r="D65" s="288" t="n">
        <v>8.06</v>
      </c>
      <c r="E65" s="289" t="s">
        <v>701</v>
      </c>
      <c r="F65" s="289" t="s">
        <v>418</v>
      </c>
      <c r="G65" s="291" t="s">
        <v>419</v>
      </c>
      <c r="H65" s="287" t="s">
        <v>420</v>
      </c>
      <c r="I65" s="298" t="s">
        <v>702</v>
      </c>
      <c r="L65" s="293" t="s">
        <v>703</v>
      </c>
      <c r="M65" s="287" t="s">
        <v>704</v>
      </c>
    </row>
    <row r="66" customFormat="false" ht="34" hidden="false" customHeight="false" outlineLevel="0" collapsed="false">
      <c r="A66" s="287" t="s">
        <v>424</v>
      </c>
      <c r="B66" s="287" t="s">
        <v>705</v>
      </c>
      <c r="C66" s="297" t="n">
        <v>1</v>
      </c>
      <c r="D66" s="288" t="s">
        <v>456</v>
      </c>
      <c r="E66" s="289" t="s">
        <v>457</v>
      </c>
      <c r="F66" s="290" t="s">
        <v>418</v>
      </c>
      <c r="G66" s="291" t="s">
        <v>458</v>
      </c>
      <c r="H66" s="297" t="s">
        <v>420</v>
      </c>
      <c r="I66" s="292" t="s">
        <v>459</v>
      </c>
      <c r="L66" s="293" t="s">
        <v>460</v>
      </c>
      <c r="M66" s="287" t="s">
        <v>706</v>
      </c>
    </row>
    <row r="67" customFormat="false" ht="34" hidden="false" customHeight="false" outlineLevel="0" collapsed="false">
      <c r="A67" s="287" t="s">
        <v>415</v>
      </c>
      <c r="C67" s="297" t="n">
        <v>1</v>
      </c>
      <c r="D67" s="299" t="s">
        <v>487</v>
      </c>
      <c r="E67" s="289" t="s">
        <v>488</v>
      </c>
      <c r="F67" s="289" t="s">
        <v>418</v>
      </c>
      <c r="G67" s="291" t="s">
        <v>451</v>
      </c>
      <c r="H67" s="297" t="s">
        <v>420</v>
      </c>
      <c r="I67" s="298" t="s">
        <v>489</v>
      </c>
      <c r="L67" s="293" t="s">
        <v>490</v>
      </c>
      <c r="M67" s="293" t="s">
        <v>707</v>
      </c>
    </row>
  </sheetData>
  <autoFilter ref="A1:M76"/>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1890</TotalTime>
  <Application>LibreOffice/6.0.7.3$Linux_X86_64 LibreOffice_project/00m0$Build-3</Application>
  <Company>Divergent,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2015-08-22T13:16:31Z</dcterms:created>
  <dc:creator>Brian Cornell</dc:creator>
  <dc:description/>
  <dc:language>en-US</dc:language>
  <cp:lastModifiedBy/>
  <dcterms:modified xsi:type="dcterms:W3CDTF">2019-10-31T11:42:45Z</dcterms:modified>
  <cp:revision>31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Divergent, LLC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