
<file path=[Content_Types].xml><?xml version="1.0" encoding="utf-8"?>
<Types xmlns="http://schemas.openxmlformats.org/package/2006/content-types">
  <Override PartName="/xl/_rels/workbook.xml.rels" ContentType="application/vnd.openxmlformats-package.relationships+xml"/>
  <Override PartName="/xl/comments9.xml" ContentType="application/vnd.openxmlformats-officedocument.spreadsheetml.comments+xml"/>
  <Override PartName="/xl/media/image1.tif" ContentType="image/tiff"/>
  <Override PartName="/xl/styles.xml" ContentType="application/vnd.openxmlformats-officedocument.spreadsheetml.styles+xml"/>
  <Override PartName="/xl/workbook.xml" ContentType="application/vnd.openxmlformats-officedocument.spreadsheetml.sheet.main+xml"/>
  <Override PartName="/xl/charts/chart1.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9.xml.rels" ContentType="application/vnd.openxmlformats-package.relationships+xml"/>
  <Override PartName="/xl/worksheets/_rels/sheet5.xml.rels" ContentType="application/vnd.openxmlformats-package.relationships+xml"/>
  <Override PartName="/xl/worksheets/_rels/sheet8.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esign" sheetId="1" state="visible" r:id="rId2"/>
    <sheet name="pic16f1769" sheetId="2" state="visible" r:id="rId3"/>
    <sheet name="v_slope" sheetId="3" state="visible" r:id="rId4"/>
    <sheet name="toroid_wind_calc" sheetId="4" state="visible" r:id="rId5"/>
    <sheet name="loop" sheetId="5" state="visible" r:id="rId6"/>
    <sheet name="switch" sheetId="6" state="visible" r:id="rId7"/>
    <sheet name="thermal" sheetId="7" state="visible" r:id="rId8"/>
    <sheet name="bom-200713" sheetId="8" state="visible" r:id="rId9"/>
    <sheet name="wireawg" sheetId="9" state="visible" r:id="rId10"/>
  </sheets>
  <definedNames>
    <definedName function="false" hidden="true" localSheetId="7" name="_xlnm._FilterDatabase" vbProcedure="false">'bom-200713'!$A$1:$H$75</definedName>
    <definedName function="false" hidden="false" localSheetId="7" name="timer_2_0_161105" vbProcedure="false">'bom-200713'!$C$1:$I$53</definedName>
  </definedNames>
  <calcPr iterateCount="100" refMode="A1" iterate="false" iterateDelta="0.001"/>
  <extLst>
    <ext xmlns:loext="http://schemas.libreoffice.org/" uri="{7626C862-2A13-11E5-B345-FEFF819CDC9F}">
      <loext:extCalcPr stringRefSyntax="CalcA1ExcelA1"/>
    </ext>
  </extLst>
</workbook>
</file>

<file path=xl/comments9.xml><?xml version="1.0" encoding="utf-8"?>
<comments xmlns="http://schemas.openxmlformats.org/spreadsheetml/2006/main" xmlns:xdr="http://schemas.openxmlformats.org/drawingml/2006/spreadsheetDrawing">
  <authors>
    <author> </author>
  </authors>
  <commentList>
    <comment ref="G3" authorId="0">
      <text>
        <r>
          <rPr>
            <b val="true"/>
            <sz val="9"/>
            <color rgb="FF000000"/>
            <rFont val="Calibri"/>
            <family val="2"/>
          </rPr>
          <t xml:space="preserve">Brian Cornell:
</t>
        </r>
      </text>
    </comment>
  </commentList>
</comments>
</file>

<file path=xl/sharedStrings.xml><?xml version="1.0" encoding="utf-8"?>
<sst xmlns="http://schemas.openxmlformats.org/spreadsheetml/2006/main" count="1071" uniqueCount="834">
  <si>
    <t xml:space="preserve">Continuous Conduction SEPIC Topology for PV-based Charger</t>
  </si>
  <si>
    <t xml:space="preserve">*** Coupled Inductor Prototype ***</t>
  </si>
  <si>
    <t xml:space="preserve">Component</t>
  </si>
  <si>
    <t xml:space="preserve">Section</t>
  </si>
  <si>
    <t xml:space="preserve">Parameter</t>
  </si>
  <si>
    <t xml:space="preserve">Value</t>
  </si>
  <si>
    <t xml:space="preserve">Notes</t>
  </si>
  <si>
    <t xml:space="preserve">Part #</t>
  </si>
  <si>
    <t xml:space="preserve">Qty</t>
  </si>
  <si>
    <t xml:space="preserve">Description</t>
  </si>
  <si>
    <t xml:space="preserve">General Operating Parameters</t>
  </si>
  <si>
    <t xml:space="preserve">V_in(min)</t>
  </si>
  <si>
    <t xml:space="preserve">V_in(max)</t>
  </si>
  <si>
    <t xml:space="preserve">V_in(nom)</t>
  </si>
  <si>
    <t xml:space="preserve">Two Renogy RNG-270P-G1 panels in series</t>
  </si>
  <si>
    <t xml:space="preserve">V_out</t>
  </si>
  <si>
    <t xml:space="preserve">Stack of four 12V lead-acid batteries</t>
  </si>
  <si>
    <t xml:space="preserve">P_out</t>
  </si>
  <si>
    <t xml:space="preserve">I_out</t>
  </si>
  <si>
    <t xml:space="preserve">η</t>
  </si>
  <si>
    <t xml:space="preserve">P_in</t>
  </si>
  <si>
    <t xml:space="preserve">P_budget</t>
  </si>
  <si>
    <t xml:space="preserve">Power budget</t>
  </si>
  <si>
    <t xml:space="preserve">I_in(nom)</t>
  </si>
  <si>
    <t xml:space="preserve">Assumes PS is matched to PV panel’s maximum [constant] current</t>
  </si>
  <si>
    <t xml:space="preserve">I_T</t>
  </si>
  <si>
    <t xml:space="preserve">I_out + I_in(nom)</t>
  </si>
  <si>
    <t xml:space="preserve">F_s</t>
  </si>
  <si>
    <t xml:space="preserve">Switching frequency</t>
  </si>
  <si>
    <t xml:space="preserve">T_s</t>
  </si>
  <si>
    <t xml:space="preserve">Switching period</t>
  </si>
  <si>
    <t xml:space="preserve">V_f</t>
  </si>
  <si>
    <t xml:space="preserve">Rectifier forward voltage</t>
  </si>
  <si>
    <t xml:space="preserve">D_M</t>
  </si>
  <si>
    <t xml:space="preserve">Maximum duty cycle</t>
  </si>
  <si>
    <t xml:space="preserve">t_on_M</t>
  </si>
  <si>
    <t xml:space="preserve">Maximum on time</t>
  </si>
  <si>
    <t xml:space="preserve">D_m</t>
  </si>
  <si>
    <t xml:space="preserve">Minimum duty cycle</t>
  </si>
  <si>
    <t xml:space="preserve">t_on_m</t>
  </si>
  <si>
    <t xml:space="preserve">Minimum on-time</t>
  </si>
  <si>
    <t xml:space="preserve">D_n</t>
  </si>
  <si>
    <t xml:space="preserve">Nominal duty cycle</t>
  </si>
  <si>
    <t xml:space="preserve">t_on_n</t>
  </si>
  <si>
    <t xml:space="preserve">Nominal on-time</t>
  </si>
  <si>
    <t xml:space="preserve">Coupled
 Inductor</t>
  </si>
  <si>
    <t xml:space="preserve">I_L(r%)</t>
  </si>
  <si>
    <t xml:space="preserve">Inductor current ripple</t>
  </si>
  <si>
    <t xml:space="preserve">I_L(r)</t>
  </si>
  <si>
    <t xml:space="preserve">Maximum inductor ripple current, p-p</t>
  </si>
  <si>
    <t xml:space="preserve">I_Lrms(r)</t>
  </si>
  <si>
    <t xml:space="preserve">Maximum inductor ripple current, RMS</t>
  </si>
  <si>
    <t xml:space="preserve">P_out(m)</t>
  </si>
  <si>
    <t xml:space="preserve">Minimum output power for CCM based on I_L(r)</t>
  </si>
  <si>
    <t xml:space="preserve">L_(m)</t>
  </si>
  <si>
    <t xml:space="preserve">Minimum inductor value</t>
  </si>
  <si>
    <t xml:space="preserve">L_l(e)</t>
  </si>
  <si>
    <t xml:space="preserve">Estimated leakage inductance to set C_ac induced current ripple equal to magnetizing current</t>
  </si>
  <si>
    <t xml:space="preserve">I_Lp(a)</t>
  </si>
  <si>
    <t xml:space="preserve">Peak inductor current: I_in(nom) + ½ I_L(r)</t>
  </si>
  <si>
    <t xml:space="preserve">I_Lp(b)</t>
  </si>
  <si>
    <t xml:space="preserve">Peak inductor current: I_out + ½ I_L(r)</t>
  </si>
  <si>
    <t xml:space="preserve">I_t</t>
  </si>
  <si>
    <t xml:space="preserve">Peak total inductor current:  I_Lp(a) + I_Lp(b)</t>
  </si>
  <si>
    <t xml:space="preserve">I_Lrms(a)</t>
  </si>
  <si>
    <t xml:space="preserve">RMS inductor current: I_in(nom) + I_Lrms(r)</t>
  </si>
  <si>
    <t xml:space="preserve">I_Lrms(b)</t>
  </si>
  <si>
    <t xml:space="preserve">RMS inductor current: I_out + I_Lrms(r)</t>
  </si>
  <si>
    <t xml:space="preserve">I_t_rms</t>
  </si>
  <si>
    <t xml:space="preserve">RMS total inductor current:  I_Lrms(a) + I_Lrms(b)</t>
  </si>
  <si>
    <t xml:space="preserve">I_L(sat_m%)</t>
  </si>
  <si>
    <t xml:space="preserve">Inductor saturation margin</t>
  </si>
  <si>
    <t xml:space="preserve">I_L(sat)</t>
  </si>
  <si>
    <t xml:space="preserve">Inductor saturation current requirement</t>
  </si>
  <si>
    <t xml:space="preserve">RM Core Winding Estimator
Build: bobbin:L2:L1
(steers ripple to L2)</t>
  </si>
  <si>
    <t xml:space="preserve">N</t>
  </si>
  <si>
    <t xml:space="preserve">Number of turns from Titan design SW, accounts for fringing flux</t>
  </si>
  <si>
    <t xml:space="preserve">N_s</t>
  </si>
  <si>
    <t xml:space="preserve">Number of strands</t>
  </si>
  <si>
    <t xml:space="preserve">N_awg</t>
  </si>
  <si>
    <t xml:space="preserve">Wire AWG</t>
  </si>
  <si>
    <t xml:space="preserve">N_d, cm</t>
  </si>
  <si>
    <t xml:space="preserve">Wire diameter</t>
  </si>
  <si>
    <t xml:space="preserve">MLT, cm</t>
  </si>
  <si>
    <t xml:space="preserve">Mean Length Turn</t>
  </si>
  <si>
    <t xml:space="preserve">A_L, H</t>
  </si>
  <si>
    <t xml:space="preserve">nH*N^2</t>
  </si>
  <si>
    <t xml:space="preserve">a, cm</t>
  </si>
  <si>
    <t xml:space="preserve">Length of windings (e.g. bobbin winding length)</t>
  </si>
  <si>
    <t xml:space="preserve">N_len</t>
  </si>
  <si>
    <t xml:space="preserve">Total winding length</t>
  </si>
  <si>
    <t xml:space="preserve">N_t</t>
  </si>
  <si>
    <t xml:space="preserve">Turns per layer</t>
  </si>
  <si>
    <t xml:space="preserve">N_l</t>
  </si>
  <si>
    <t xml:space="preserve">Layers per winding</t>
  </si>
  <si>
    <t xml:space="preserve">b, cm</t>
  </si>
  <si>
    <t xml:space="preserve">Thickness of winding build</t>
  </si>
  <si>
    <t xml:space="preserve">c_t, cm</t>
  </si>
  <si>
    <t xml:space="preserve">Thickness of insulation (tape) used between windings</t>
  </si>
  <si>
    <t xml:space="preserve">c_n</t>
  </si>
  <si>
    <t xml:space="preserve">Number of layers of insulation</t>
  </si>
  <si>
    <t xml:space="preserve">c, cm</t>
  </si>
  <si>
    <t xml:space="preserve">Tickness of insulation layer</t>
  </si>
  <si>
    <t xml:space="preserve">L_c</t>
  </si>
  <si>
    <t xml:space="preserve">Calculated winding inductance</t>
  </si>
  <si>
    <t xml:space="preserve">L_l</t>
  </si>
  <si>
    <t xml:space="preserve">Estimated winding leakage inductance</t>
  </si>
  <si>
    <t xml:space="preserve">L_r</t>
  </si>
  <si>
    <t xml:space="preserve">Ratio L_l to L_(m)</t>
  </si>
  <si>
    <t xml:space="preserve">b_T, cm</t>
  </si>
  <si>
    <t xml:space="preserve">Total thickness of winding &amp; insulation build</t>
  </si>
  <si>
    <t xml:space="preserve">L_l(Z)</t>
  </si>
  <si>
    <t xml:space="preserve">Leakage inductance impedance @ switching frequency, F</t>
  </si>
  <si>
    <t xml:space="preserve">I_l(z)</t>
  </si>
  <si>
    <t xml:space="preserve">C_ac(s) ripple current with L_l(z) impedance</t>
  </si>
  <si>
    <t xml:space="preserve">AC Coupling Capacitor and Damping Network</t>
  </si>
  <si>
    <t xml:space="preserve">I_Lp(a%)</t>
  </si>
  <si>
    <t xml:space="preserve">Primary inductor current limit margin (e.g. current limit engages)</t>
  </si>
  <si>
    <t xml:space="preserve">I_Lp(a_M)</t>
  </si>
  <si>
    <t xml:space="preserve">Maximum allowed current thru primary inductor</t>
  </si>
  <si>
    <t xml:space="preserve">V_ac(p)</t>
  </si>
  <si>
    <t xml:space="preserve">Voltage margin to maintain coupling capacitor polarity</t>
  </si>
  <si>
    <t xml:space="preserve">C_ac(m)</t>
  </si>
  <si>
    <t xml:space="preserve">Minimum coupling capacitor value</t>
  </si>
  <si>
    <t xml:space="preserve">C_ac(s)</t>
  </si>
  <si>
    <t xml:space="preserve">Selected coupling capacitor value</t>
  </si>
  <si>
    <t xml:space="preserve">1.5u</t>
  </si>
  <si>
    <t xml:space="preserve">399-20889-ND</t>
  </si>
  <si>
    <t xml:space="preserve">1.5µF Film Capacitor 90V 160V Polyester, Polyethylene Terephthalate (PET), Metallized Radial</t>
  </si>
  <si>
    <t xml:space="preserve">V_ac_max(pp)</t>
  </si>
  <si>
    <t xml:space="preserve">Maximum ripple voltage across selected coupling capacitor @ D_n, p-p</t>
  </si>
  <si>
    <t xml:space="preserve">V_ac_max(rms)</t>
  </si>
  <si>
    <t xml:space="preserve">Maximum ripple voltage across selected coupling capacitor @ D_n, rms</t>
  </si>
  <si>
    <t xml:space="preserve">V_C_ac(m)</t>
  </si>
  <si>
    <t xml:space="preserve">Minimum voltage rating for selected coupling capacitor</t>
  </si>
  <si>
    <t xml:space="preserve">V_ac_M(pp)</t>
  </si>
  <si>
    <t xml:space="preserve">Ripple voltage across selected coupling capacitor @ D_M, p-p</t>
  </si>
  <si>
    <t xml:space="preserve">I_C_ac(rms)</t>
  </si>
  <si>
    <t xml:space="preserve">Minimum RMS current rating for selected coupling capacitor</t>
  </si>
  <si>
    <t xml:space="preserve">F_r(ac)</t>
  </si>
  <si>
    <t xml:space="preserve">Resonant frequency of C_ac(s) and L_l</t>
  </si>
  <si>
    <t xml:space="preserve">X_r(ac)</t>
  </si>
  <si>
    <t xml:space="preserve">Impedance of C_ac(s) @ F_r(ac)</t>
  </si>
  <si>
    <t xml:space="preserve">Rd_ac(i)</t>
  </si>
  <si>
    <t xml:space="preserve">Ideal damping resistor</t>
  </si>
  <si>
    <t xml:space="preserve">Cd_ac(i)</t>
  </si>
  <si>
    <t xml:space="preserve">Ideal damping capacitor</t>
  </si>
  <si>
    <t xml:space="preserve">Rd_ac(s)</t>
  </si>
  <si>
    <t xml:space="preserve">Selected damping resistor</t>
  </si>
  <si>
    <t xml:space="preserve">A143377CT-ND</t>
  </si>
  <si>
    <t xml:space="preserve">1 Ohms ±1% 4W Chip Resistor Nonstandard  Thick Film</t>
  </si>
  <si>
    <t xml:space="preserve">Cd_ac(s)</t>
  </si>
  <si>
    <t xml:space="preserve">Selected damping capacitor</t>
  </si>
  <si>
    <t xml:space="preserve">Xd_r(ac)</t>
  </si>
  <si>
    <t xml:space="preserve">Damping network impedance @ F_r(ac)</t>
  </si>
  <si>
    <t xml:space="preserve">Rtd_r(ac)</t>
  </si>
  <si>
    <t xml:space="preserve">Damping ratio @ F_r(ac)</t>
  </si>
  <si>
    <t xml:space="preserve">Xd_F(ac)</t>
  </si>
  <si>
    <t xml:space="preserve">Damping network impedance @ switching frequency F</t>
  </si>
  <si>
    <t xml:space="preserve">Xc_F(ac)</t>
  </si>
  <si>
    <t xml:space="preserve">Impedance of C_ac(s) @ switching frequency F</t>
  </si>
  <si>
    <t xml:space="preserve">RT_Xd_Xc_F(ac)</t>
  </si>
  <si>
    <t xml:space="preserve">Ratio of damping network / C_ac(s) impedance @ switching frequency F</t>
  </si>
  <si>
    <t xml:space="preserve">P_Rd(ac)</t>
  </si>
  <si>
    <t xml:space="preserve">Dissipation of Rd_ac(s) @ V_in(nom) &amp; P_out</t>
  </si>
  <si>
    <t xml:space="preserve">Power Distribution Wiring
 Inductance &amp; Input
 Capacitor Sizing</t>
  </si>
  <si>
    <t xml:space="preserve">Length, cm</t>
  </si>
  <si>
    <t xml:space="preserve">Length from PV panels to power supply</t>
  </si>
  <si>
    <t xml:space="preserve">Spacing, cm</t>
  </si>
  <si>
    <t xml:space="preserve">The average distance between the individual wires in the pair</t>
  </si>
  <si>
    <t xml:space="preserve">Gauge, AWG</t>
  </si>
  <si>
    <t xml:space="preserve">Distribution wiring gauge</t>
  </si>
  <si>
    <t xml:space="preserve">Diameter, cm</t>
  </si>
  <si>
    <t xml:space="preserve">Diameter of selected wire gauge</t>
  </si>
  <si>
    <t xml:space="preserve">L_pd</t>
  </si>
  <si>
    <t xml:space="preserve">Approximate inductance of distribution wiring</t>
  </si>
  <si>
    <t xml:space="preserve">V_pd</t>
  </si>
  <si>
    <t xml:space="preserve">Maximum allowed noise on distribution wiring</t>
  </si>
  <si>
    <t xml:space="preserve">V_pd%</t>
  </si>
  <si>
    <t xml:space="preserve">Noise derating in percent</t>
  </si>
  <si>
    <t xml:space="preserve">V_pd(m)</t>
  </si>
  <si>
    <t xml:space="preserve">Permissible noise margin</t>
  </si>
  <si>
    <t xml:space="preserve">X_pd</t>
  </si>
  <si>
    <t xml:space="preserve">Permissible common path impedance</t>
  </si>
  <si>
    <t xml:space="preserve">F_pd</t>
  </si>
  <si>
    <t xml:space="preserve">Distribution wiring knee frequency</t>
  </si>
  <si>
    <t xml:space="preserve">C_in(m)</t>
  </si>
  <si>
    <t xml:space="preserve">Minimum input capacitor value to meet V_pd</t>
  </si>
  <si>
    <t xml:space="preserve">330u</t>
  </si>
  <si>
    <t xml:space="preserve">565-3493-ND</t>
  </si>
  <si>
    <t xml:space="preserve">330µF 160V Aluminum Electrolytic Capacitors Radial, Can  12000 Hrs @ 105°C</t>
  </si>
  <si>
    <t xml:space="preserve">I_c(in_rms)</t>
  </si>
  <si>
    <t xml:space="preserve">Input capacitor minimum RMS current rating</t>
  </si>
  <si>
    <t xml:space="preserve">2.9A ripple current @ 100kHz</t>
  </si>
  <si>
    <t xml:space="preserve">Output
 Capacitor
 Sizing</t>
  </si>
  <si>
    <t xml:space="preserve">V_out(rd)</t>
  </si>
  <si>
    <t xml:space="preserve">Desired maximum output voltage ripple</t>
  </si>
  <si>
    <t xml:space="preserve">C_out(m)</t>
  </si>
  <si>
    <t xml:space="preserve">Minimum output capacitor value to meet V_out(rd) with no ESR</t>
  </si>
  <si>
    <t xml:space="preserve">C_out(s)</t>
  </si>
  <si>
    <t xml:space="preserve">Selected output capacitor value</t>
  </si>
  <si>
    <t xml:space="preserve">220u</t>
  </si>
  <si>
    <t xml:space="preserve">493-17776-ND</t>
  </si>
  <si>
    <t xml:space="preserve">220µF 100V Aluminum Electrolytic Capacitors Radial, Can 54mOhm @ 100kHz 3000 Hrs @ 135°C</t>
  </si>
  <si>
    <t xml:space="preserve">ESR_C(out)</t>
  </si>
  <si>
    <t xml:space="preserve">Selected output capacitor ESR</t>
  </si>
  <si>
    <t xml:space="preserve">2.52A ripple current @ 100kHz</t>
  </si>
  <si>
    <t xml:space="preserve">V_out(rs)</t>
  </si>
  <si>
    <t xml:space="preserve">Maximum output voltage ripple with C_out(s)</t>
  </si>
  <si>
    <t xml:space="preserve">I_rms(c_out)</t>
  </si>
  <si>
    <t xml:space="preserve">C_out RMS current @ P_out and V_in(nom)</t>
  </si>
  <si>
    <t xml:space="preserve">16-bit PWM Timing</t>
  </si>
  <si>
    <t xml:space="preserve">Timer 0</t>
  </si>
  <si>
    <t xml:space="preserve">ADC Conversion Timing</t>
  </si>
  <si>
    <t xml:space="preserve">ADC Scaling</t>
  </si>
  <si>
    <t xml:space="preserve">Pin Map</t>
  </si>
  <si>
    <t xml:space="preserve">Pin Assignments</t>
  </si>
  <si>
    <t xml:space="preserve">Fosc (HFINTOSC)</t>
  </si>
  <si>
    <t xml:space="preserve">Clock speed</t>
  </si>
  <si>
    <t xml:space="preserve">Conversion Clock Speed</t>
  </si>
  <si>
    <t xml:space="preserve">Vref</t>
  </si>
  <si>
    <t xml:space="preserve">Pin</t>
  </si>
  <si>
    <t xml:space="preserve">Port</t>
  </si>
  <si>
    <t xml:space="preserve">Channel</t>
  </si>
  <si>
    <t xml:space="preserve">1=in,0=out</t>
  </si>
  <si>
    <t xml:space="preserve">1=A,0=D</t>
  </si>
  <si>
    <t xml:space="preserve">Ramp E / I</t>
  </si>
  <si>
    <t xml:space="preserve">Peripheral/Pin</t>
  </si>
  <si>
    <t xml:space="preserve">Fct. / Net Name</t>
  </si>
  <si>
    <t xml:space="preserve">Tosc</t>
  </si>
  <si>
    <t xml:space="preserve">Prescaler (1:?)</t>
  </si>
  <si>
    <t xml:space="preserve">Tad Cycles Required</t>
  </si>
  <si>
    <t xml:space="preserve">mV / increment</t>
  </si>
  <si>
    <t xml:space="preserve">Vdd</t>
  </si>
  <si>
    <t xml:space="preserve">-</t>
  </si>
  <si>
    <t xml:space="preserve">n/a</t>
  </si>
  <si>
    <t xml:space="preserve">Ficlk</t>
  </si>
  <si>
    <t xml:space="preserve">Speed (Hz)</t>
  </si>
  <si>
    <t xml:space="preserve">ADC Conversion Time</t>
  </si>
  <si>
    <t xml:space="preserve">Measured V</t>
  </si>
  <si>
    <t xml:space="preserve">RA5</t>
  </si>
  <si>
    <t xml:space="preserve">LED_RUN</t>
  </si>
  <si>
    <t xml:space="preserve">Ticlk</t>
  </si>
  <si>
    <t xml:space="preserve">Period (uS)</t>
  </si>
  <si>
    <t xml:space="preserve">ADC value, H/D</t>
  </si>
  <si>
    <t xml:space="preserve">RA4</t>
  </si>
  <si>
    <t xml:space="preserve">AN3</t>
  </si>
  <si>
    <t xml:space="preserve">LED_FAULT</t>
  </si>
  <si>
    <t xml:space="preserve">Instructions / pwm period</t>
  </si>
  <si>
    <t xml:space="preserve">Full Scale Time</t>
  </si>
  <si>
    <t xml:space="preserve">Tamp, amplifier settling time</t>
  </si>
  <si>
    <t xml:space="preserve">RA3</t>
  </si>
  <si>
    <t xml:space="preserve">VPP</t>
  </si>
  <si>
    <t xml:space="preserve">PWM5PR, period, (hex word)</t>
  </si>
  <si>
    <t xml:space="preserve">69</t>
  </si>
  <si>
    <t xml:space="preserve">Freq (Hz)</t>
  </si>
  <si>
    <t xml:space="preserve">Rs, source impedance</t>
  </si>
  <si>
    <t xml:space="preserve">RC5</t>
  </si>
  <si>
    <t xml:space="preserve">E</t>
  </si>
  <si>
    <t xml:space="preserve">COG1B</t>
  </si>
  <si>
    <t xml:space="preserve">E_SLOPE_R</t>
  </si>
  <si>
    <t xml:space="preserve">External slope reset</t>
  </si>
  <si>
    <t xml:space="preserve">PWM5PR, period, (decimal)</t>
  </si>
  <si>
    <t xml:space="preserve">Ambient temperature, C</t>
  </si>
  <si>
    <t xml:space="preserve">RC4</t>
  </si>
  <si>
    <t xml:space="preserve">N/C</t>
  </si>
  <si>
    <t xml:space="preserve">PWM5DC, duty cycle (hex word)</t>
  </si>
  <si>
    <t xml:space="preserve">5b</t>
  </si>
  <si>
    <t xml:space="preserve">Timer 1/3/5</t>
  </si>
  <si>
    <t xml:space="preserve">Tc, hold capacitor charge time</t>
  </si>
  <si>
    <t xml:space="preserve">5-bit DAC Output Voltage</t>
  </si>
  <si>
    <t xml:space="preserve">RC3</t>
  </si>
  <si>
    <t xml:space="preserve">AN7</t>
  </si>
  <si>
    <t xml:space="preserve">C3IN3-</t>
  </si>
  <si>
    <t xml:space="preserve">E_SLOPE</t>
  </si>
  <si>
    <t xml:space="preserve">External slope compensation input</t>
  </si>
  <si>
    <t xml:space="preserve">PWM5DC, duty cycle (decimal)</t>
  </si>
  <si>
    <t xml:space="preserve">Tcoff, temperature coefficient</t>
  </si>
  <si>
    <t xml:space="preserve">V+</t>
  </si>
  <si>
    <t xml:space="preserve">RC6</t>
  </si>
  <si>
    <t xml:space="preserve">AN8</t>
  </si>
  <si>
    <t xml:space="preserve">PWM5PH, phase (hex word)</t>
  </si>
  <si>
    <t xml:space="preserve">0</t>
  </si>
  <si>
    <t xml:space="preserve">Tacq, Acqusition Time</t>
  </si>
  <si>
    <r>
      <rPr>
        <b val="true"/>
        <sz val="10"/>
        <color rgb="FF000000"/>
        <rFont val="Arial"/>
        <family val="2"/>
      </rPr>
      <t xml:space="preserve">DACCON</t>
    </r>
    <r>
      <rPr>
        <b val="true"/>
        <vertAlign val="subscript"/>
        <sz val="10"/>
        <color rgb="FF000000"/>
        <rFont val="Arial"/>
        <family val="2"/>
      </rPr>
      <t xml:space="preserve">10</t>
    </r>
  </si>
  <si>
    <t xml:space="preserve">RC7</t>
  </si>
  <si>
    <t xml:space="preserve">AN9</t>
  </si>
  <si>
    <t xml:space="preserve">C2OUT, T1CKI</t>
  </si>
  <si>
    <t xml:space="preserve">OVC_COUNT</t>
  </si>
  <si>
    <t xml:space="preserve">Connects C2 out to T1 clock input</t>
  </si>
  <si>
    <t xml:space="preserve">Prescale</t>
  </si>
  <si>
    <r>
      <rPr>
        <b val="true"/>
        <sz val="10"/>
        <color rgb="FF000000"/>
        <rFont val="Arial"/>
        <family val="2"/>
      </rPr>
      <t xml:space="preserve">DAC1CON</t>
    </r>
    <r>
      <rPr>
        <b val="true"/>
        <vertAlign val="subscript"/>
        <sz val="10"/>
        <color rgb="FF000000"/>
        <rFont val="Arial"/>
        <family val="2"/>
      </rPr>
      <t xml:space="preserve">16</t>
    </r>
  </si>
  <si>
    <t xml:space="preserve">RB7</t>
  </si>
  <si>
    <t xml:space="preserve">COG1A</t>
  </si>
  <si>
    <t xml:space="preserve">GATE_DRV</t>
  </si>
  <si>
    <t xml:space="preserve">Cycle adjustment factor</t>
  </si>
  <si>
    <t xml:space="preserve">Total conversion time</t>
  </si>
  <si>
    <t xml:space="preserve">Vout</t>
  </si>
  <si>
    <t xml:space="preserve">RB6</t>
  </si>
  <si>
    <t xml:space="preserve">C3IN1+</t>
  </si>
  <si>
    <t xml:space="preserve">EA_OUT</t>
  </si>
  <si>
    <t xml:space="preserve">Connects to pin 14</t>
  </si>
  <si>
    <t xml:space="preserve">PWM period</t>
  </si>
  <si>
    <t xml:space="preserve">RB5</t>
  </si>
  <si>
    <t xml:space="preserve">AN11</t>
  </si>
  <si>
    <t xml:space="preserve">ADC</t>
  </si>
  <si>
    <t xml:space="preserve">OV_SENSE_ADC</t>
  </si>
  <si>
    <t xml:space="preserve">PWM frequency</t>
  </si>
  <si>
    <t xml:space="preserve">RB4</t>
  </si>
  <si>
    <t xml:space="preserve">AN10</t>
  </si>
  <si>
    <t xml:space="preserve">OPA1IN0-</t>
  </si>
  <si>
    <t xml:space="preserve">EA_IN</t>
  </si>
  <si>
    <t xml:space="preserve">Duty cycle ratio</t>
  </si>
  <si>
    <t xml:space="preserve">MCP9700A Ratiometric Temp Sensor</t>
  </si>
  <si>
    <t xml:space="preserve">10-bit DAC Output Voltage</t>
  </si>
  <si>
    <t xml:space="preserve">RC2</t>
  </si>
  <si>
    <t xml:space="preserve">AN6</t>
  </si>
  <si>
    <t xml:space="preserve">OPA1OUT</t>
  </si>
  <si>
    <t xml:space="preserve">Desired duty cycle ratio, %</t>
  </si>
  <si>
    <t xml:space="preserve">Timer 2/4/6</t>
  </si>
  <si>
    <r>
      <rPr>
        <sz val="12"/>
        <color rgb="FF000000"/>
        <rFont val="Calibri"/>
        <family val="2"/>
      </rPr>
      <t xml:space="preserve">Ambient / Sensor Temp, T</t>
    </r>
    <r>
      <rPr>
        <vertAlign val="subscript"/>
        <sz val="12"/>
        <color rgb="FF000000"/>
        <rFont val="Calibri"/>
        <family val="2"/>
      </rPr>
      <t xml:space="preserve">A</t>
    </r>
  </si>
  <si>
    <t xml:space="preserve">RC1</t>
  </si>
  <si>
    <t xml:space="preserve">AN5</t>
  </si>
  <si>
    <t xml:space="preserve">E, I</t>
  </si>
  <si>
    <t xml:space="preserve">C1IN1-, C2IN1-</t>
  </si>
  <si>
    <t xml:space="preserve">I_SENSE, I_LIM</t>
  </si>
  <si>
    <t xml:space="preserve">C1IN1- for I_Sense on I ramp only</t>
  </si>
  <si>
    <t xml:space="preserve">PWM5DC value</t>
  </si>
  <si>
    <r>
      <rPr>
        <sz val="12"/>
        <color rgb="FF000000"/>
        <rFont val="Calibri"/>
        <family val="2"/>
      </rPr>
      <t xml:space="preserve">Temperature Coefficient, T</t>
    </r>
    <r>
      <rPr>
        <vertAlign val="subscript"/>
        <sz val="12"/>
        <color rgb="FF000000"/>
        <rFont val="Calibri"/>
        <family val="2"/>
      </rPr>
      <t xml:space="preserve">C</t>
    </r>
  </si>
  <si>
    <r>
      <rPr>
        <b val="true"/>
        <sz val="10"/>
        <color rgb="FF000000"/>
        <rFont val="Arial"/>
        <family val="2"/>
      </rPr>
      <t xml:space="preserve">DAC1CON</t>
    </r>
    <r>
      <rPr>
        <b val="true"/>
        <vertAlign val="subscript"/>
        <sz val="10"/>
        <color rgb="FF000000"/>
        <rFont val="Arial"/>
        <family val="2"/>
      </rPr>
      <t xml:space="preserve">10</t>
    </r>
  </si>
  <si>
    <t xml:space="preserve">RC0</t>
  </si>
  <si>
    <t xml:space="preserve">AN4</t>
  </si>
  <si>
    <t xml:space="preserve">Desired PWM frequency</t>
  </si>
  <si>
    <r>
      <rPr>
        <sz val="12"/>
        <color rgb="FF000000"/>
        <rFont val="Calibri"/>
        <family val="2"/>
      </rPr>
      <t xml:space="preserve">Sensor output @ 0C, V</t>
    </r>
    <r>
      <rPr>
        <vertAlign val="subscript"/>
        <sz val="12"/>
        <color rgb="FF000000"/>
        <rFont val="Calibri"/>
        <family val="2"/>
      </rPr>
      <t xml:space="preserve">0C</t>
    </r>
  </si>
  <si>
    <t xml:space="preserve">RA2</t>
  </si>
  <si>
    <t xml:space="preserve">AN2</t>
  </si>
  <si>
    <t xml:space="preserve">IV_SENSE_ADC</t>
  </si>
  <si>
    <t xml:space="preserve">Desired PWM period</t>
  </si>
  <si>
    <r>
      <rPr>
        <sz val="12"/>
        <color rgb="FF000000"/>
        <rFont val="Calibri"/>
        <family val="2"/>
      </rPr>
      <t xml:space="preserve">Sensor output, V</t>
    </r>
    <r>
      <rPr>
        <vertAlign val="subscript"/>
        <sz val="12"/>
        <color rgb="FF000000"/>
        <rFont val="Calibri"/>
        <family val="2"/>
      </rPr>
      <t xml:space="preserve">OUT</t>
    </r>
  </si>
  <si>
    <t xml:space="preserve">RA1</t>
  </si>
  <si>
    <t xml:space="preserve">AN1</t>
  </si>
  <si>
    <t xml:space="preserve">EUSART</t>
  </si>
  <si>
    <t xml:space="preserve">CLK_Tx</t>
  </si>
  <si>
    <t xml:space="preserve">Required PWM5PR value (hex)</t>
  </si>
  <si>
    <t xml:space="preserve">RA0</t>
  </si>
  <si>
    <t xml:space="preserve">AN0</t>
  </si>
  <si>
    <t xml:space="preserve">DAT_Rx</t>
  </si>
  <si>
    <t xml:space="preserve">Vss</t>
  </si>
  <si>
    <t xml:space="preserve">10-bit PWM Timing</t>
  </si>
  <si>
    <t xml:space="preserve">PR Match</t>
  </si>
  <si>
    <t xml:space="preserve">Fosc</t>
  </si>
  <si>
    <t xml:space="preserve">PR Match Time</t>
  </si>
  <si>
    <t xml:space="preserve">Postscaler (1:1-1:16)</t>
  </si>
  <si>
    <t xml:space="preserve">Postscaler Time</t>
  </si>
  <si>
    <t xml:space="preserve">Instructions / period</t>
  </si>
  <si>
    <t xml:space="preserve">Period Register (hex)</t>
  </si>
  <si>
    <t xml:space="preserve">27</t>
  </si>
  <si>
    <t xml:space="preserve">PWMperiod</t>
  </si>
  <si>
    <t xml:space="preserve">PWMfreq</t>
  </si>
  <si>
    <t xml:space="preserve">Resolution bits</t>
  </si>
  <si>
    <t xml:space="preserve">Resolution cycles</t>
  </si>
  <si>
    <t xml:space="preserve">CCPRxH:CCPRxL (hex)</t>
  </si>
  <si>
    <t xml:space="preserve">10</t>
  </si>
  <si>
    <t xml:space="preserve">Duty Cycle time</t>
  </si>
  <si>
    <t xml:space="preserve">Duty cycle %</t>
  </si>
  <si>
    <t xml:space="preserve">Unidirectional Current Transformer</t>
  </si>
  <si>
    <t xml:space="preserve">Coupled Inductor Time, Current Slope, DC Operating Point*</t>
  </si>
  <si>
    <t xml:space="preserve">Primary turns:</t>
  </si>
  <si>
    <t xml:space="preserve">Comments</t>
  </si>
  <si>
    <t xml:space="preserve">Secondary turns:</t>
  </si>
  <si>
    <t xml:space="preserve">PV rated power, W</t>
  </si>
  <si>
    <r>
      <rPr>
        <sz val="12"/>
        <color rgb="FF000000"/>
        <rFont val="Calibri"/>
        <family val="2"/>
      </rPr>
      <t xml:space="preserve">Primary design current, I</t>
    </r>
    <r>
      <rPr>
        <vertAlign val="subscript"/>
        <sz val="12"/>
        <color rgb="FF000000"/>
        <rFont val="Calibri (Body)"/>
        <family val="0"/>
      </rPr>
      <t xml:space="preserve">P</t>
    </r>
    <r>
      <rPr>
        <sz val="12"/>
        <color rgb="FF000000"/>
        <rFont val="Calibri"/>
        <family val="2"/>
      </rPr>
      <t xml:space="preserve">:</t>
    </r>
  </si>
  <si>
    <t xml:space="preserve">Input @ MPPT, V</t>
  </si>
  <si>
    <t xml:space="preserve">Ratio:</t>
  </si>
  <si>
    <t xml:space="preserve">Input @ MPPT, I</t>
  </si>
  <si>
    <r>
      <rPr>
        <sz val="12"/>
        <color rgb="FF000000"/>
        <rFont val="Calibri"/>
        <family val="2"/>
      </rPr>
      <t xml:space="preserve">Secondary current @ I</t>
    </r>
    <r>
      <rPr>
        <vertAlign val="subscript"/>
        <sz val="12"/>
        <color rgb="FF000000"/>
        <rFont val="Calibri (Body)"/>
        <family val="0"/>
      </rPr>
      <t xml:space="preserve">P</t>
    </r>
    <r>
      <rPr>
        <sz val="12"/>
        <color rgb="FF000000"/>
        <rFont val="Calibri"/>
        <family val="2"/>
      </rPr>
      <t xml:space="preserve">, I</t>
    </r>
    <r>
      <rPr>
        <vertAlign val="subscript"/>
        <sz val="12"/>
        <color rgb="FF000000"/>
        <rFont val="Calibri (Body)"/>
        <family val="0"/>
      </rPr>
      <t xml:space="preserve">S</t>
    </r>
    <r>
      <rPr>
        <sz val="12"/>
        <color rgb="FF000000"/>
        <rFont val="Calibri"/>
        <family val="2"/>
      </rPr>
      <t xml:space="preserve">:</t>
    </r>
  </si>
  <si>
    <t xml:space="preserve">Output, V</t>
  </si>
  <si>
    <t xml:space="preserve">Burden resistor, Ω:</t>
  </si>
  <si>
    <t xml:space="preserve">Output, I</t>
  </si>
  <si>
    <t xml:space="preserve">Max secondary voltage:</t>
  </si>
  <si>
    <t xml:space="preserve">Output, Ro, Ω</t>
  </si>
  <si>
    <t xml:space="preserve">Load impedance.</t>
  </si>
  <si>
    <t xml:space="preserve">Volts per amp, Ri, V:</t>
  </si>
  <si>
    <t xml:space="preserve">Inductor, L</t>
  </si>
  <si>
    <t xml:space="preserve">Per Titan design file mpptproto-l1-r1.pdf.</t>
  </si>
  <si>
    <t xml:space="preserve">Dissipation, W:</t>
  </si>
  <si>
    <t xml:space="preserve">Switch freq., F_s</t>
  </si>
  <si>
    <t xml:space="preserve">Core part #:</t>
  </si>
  <si>
    <t xml:space="preserve">TDK B64290L0045X038</t>
  </si>
  <si>
    <t xml:space="preserve">Duty Cycle, D, %</t>
  </si>
  <si>
    <t xml:space="preserve">Required duty cycle to meet input / output parameters.</t>
  </si>
  <si>
    <t xml:space="preserve">Core material:</t>
  </si>
  <si>
    <t xml:space="preserve">Ferrite, T38</t>
  </si>
  <si>
    <t xml:space="preserve">Switch time, T_s</t>
  </si>
  <si>
    <r>
      <rPr>
        <sz val="10"/>
        <color rgb="FF000000"/>
        <rFont val="Arial"/>
        <family val="2"/>
      </rPr>
      <t xml:space="preserve">Core A</t>
    </r>
    <r>
      <rPr>
        <vertAlign val="subscript"/>
        <sz val="10"/>
        <color rgb="FF000000"/>
        <rFont val="Arial"/>
        <family val="2"/>
      </rPr>
      <t xml:space="preserve">e</t>
    </r>
    <r>
      <rPr>
        <sz val="10"/>
        <color rgb="FF000000"/>
        <rFont val="Arial"/>
        <family val="2"/>
      </rPr>
      <t xml:space="preserve">, mm</t>
    </r>
    <r>
      <rPr>
        <vertAlign val="superscript"/>
        <sz val="10"/>
        <color rgb="FF000000"/>
        <rFont val="Arial"/>
        <family val="2"/>
      </rPr>
      <t xml:space="preserve">2</t>
    </r>
    <r>
      <rPr>
        <sz val="10"/>
        <color rgb="FF000000"/>
        <rFont val="Arial"/>
        <family val="2"/>
      </rPr>
      <t xml:space="preserve">:</t>
    </r>
  </si>
  <si>
    <t xml:space="preserve">On time, T_on</t>
  </si>
  <si>
    <r>
      <rPr>
        <sz val="10"/>
        <color rgb="FF000000"/>
        <rFont val="Arial"/>
        <family val="2"/>
      </rPr>
      <t xml:space="preserve">Core A</t>
    </r>
    <r>
      <rPr>
        <vertAlign val="subscript"/>
        <sz val="10"/>
        <color rgb="FF000000"/>
        <rFont val="Arial"/>
        <family val="2"/>
      </rPr>
      <t xml:space="preserve">L, nH:</t>
    </r>
  </si>
  <si>
    <t xml:space="preserve">Off time, T_off</t>
  </si>
  <si>
    <t xml:space="preserve">Inductance, L:</t>
  </si>
  <si>
    <t xml:space="preserve">Inductor M2, A/uS</t>
  </si>
  <si>
    <t xml:space="preserve">M2 is the inductor down-sloping ramp during switch off-time.</t>
  </si>
  <si>
    <t xml:space="preserve">di/dt, A/s:</t>
  </si>
  <si>
    <t xml:space="preserve">Inductor M, A/uS</t>
  </si>
  <si>
    <t xml:space="preserve">M is 1/2 the slope of M2.</t>
  </si>
  <si>
    <t xml:space="preserve">Maximum pulse time, uS:</t>
  </si>
  <si>
    <t xml:space="preserve">Inductor M2, V/uS</t>
  </si>
  <si>
    <t xml:space="preserve">Magnetization current, I:</t>
  </si>
  <si>
    <t xml:space="preserve">Inductor M, V/uS</t>
  </si>
  <si>
    <t xml:space="preserve">Slope compensation value, ½ slope of M2 in V/uS.</t>
  </si>
  <si>
    <t xml:space="preserve">Primary current error, I:</t>
  </si>
  <si>
    <t xml:space="preserve">Inductor M2 ∆, I</t>
  </si>
  <si>
    <t xml:space="preserve">Inductor output ripple current.</t>
  </si>
  <si>
    <t xml:space="preserve">Per pulse flux density, mT:</t>
  </si>
  <si>
    <t xml:space="preserve">Inductor peak, I_Lp | V_Lp</t>
  </si>
  <si>
    <t xml:space="preserve">Coupled inductor (L_1 + L_2) peak current | volts (per CT ratio Ri)</t>
  </si>
  <si>
    <t xml:space="preserve">Reset resistor, Ω:</t>
  </si>
  <si>
    <t xml:space="preserve">Inductor min, I|V</t>
  </si>
  <si>
    <t xml:space="preserve">Reset voltage:</t>
  </si>
  <si>
    <t xml:space="preserve">Inductor M1, A/uS</t>
  </si>
  <si>
    <t xml:space="preserve">M1 is the inductor up-sloping ramp during switch on-time.</t>
  </si>
  <si>
    <t xml:space="preserve">94% reset time, s:</t>
  </si>
  <si>
    <t xml:space="preserve">Inductor M1, V/uS</t>
  </si>
  <si>
    <t xml:space="preserve">Minimum off-time:</t>
  </si>
  <si>
    <t xml:space="preserve">Slope comp, V_slope</t>
  </si>
  <si>
    <t xml:space="preserve">Design enforced (using PRG) standard slope compensation value for M, V/uS.</t>
  </si>
  <si>
    <t xml:space="preserve">Reset margin:</t>
  </si>
  <si>
    <t xml:space="preserve">Slope comp, V_slope(max)</t>
  </si>
  <si>
    <t xml:space="preserve">Maximum slope compensation value of M for time T_on</t>
  </si>
  <si>
    <t xml:space="preserve">Starting ramp voltage</t>
  </si>
  <si>
    <t xml:space="preserve">Maximum input voltage from outer voltage loop EA @ start of switching cycle</t>
  </si>
  <si>
    <r>
      <rPr>
        <sz val="10"/>
        <rFont val="Arial"/>
        <family val="2"/>
      </rPr>
      <t xml:space="preserve">Burden resistor: stock, Digikey </t>
    </r>
    <r>
      <rPr>
        <sz val="10"/>
        <color rgb="FF000000"/>
        <rFont val="Arial"/>
        <family val="2"/>
      </rPr>
      <t xml:space="preserve">541-40.2ANCT-ND</t>
    </r>
  </si>
  <si>
    <t xml:space="preserve">Ending ramp voltage</t>
  </si>
  <si>
    <t xml:space="preserve">Ramp voltage with V_slope(max) applied</t>
  </si>
  <si>
    <r>
      <rPr>
        <sz val="10"/>
        <rFont val="Arial"/>
        <family val="2"/>
      </rPr>
      <t xml:space="preserve">Reset resistor: Digikey </t>
    </r>
    <r>
      <rPr>
        <sz val="10"/>
        <color rgb="FF000000"/>
        <rFont val="Arial"/>
        <family val="2"/>
      </rPr>
      <t xml:space="preserve">A130567CT-ND</t>
    </r>
  </si>
  <si>
    <t xml:space="preserve">DC power circuit gain, A</t>
  </si>
  <si>
    <t xml:space="preserve">DC operating point: gain from current control loop to Ri (CT sense)</t>
  </si>
  <si>
    <t xml:space="preserve">DC power stage gain, dB</t>
  </si>
  <si>
    <t xml:space="preserve">Power stage zero, F</t>
  </si>
  <si>
    <t xml:space="preserve">Frequency at which coupled inductor impedance equals I_T (max load @ MPPT)</t>
  </si>
  <si>
    <t xml:space="preserve">Power stage zero, dB</t>
  </si>
  <si>
    <t xml:space="preserve">Gain @ power circuit zero, dB</t>
  </si>
  <si>
    <t xml:space="preserve">*Transfer function (small signal model) adapted from “Seminar 900 Topic 7 - Control Loop Design SEPIC Prereg”, Dixon, Lloyd, 2001, publication slup104.
    + In Dixon’s example the sawtooth reaches peak @ end of cycle (100% D).
    + In this design the slope comp drives PWM comparator and starts @ max
       Volts @ start of cycle.  Max DC is reached @ time Ton and volts is reduced
       By Ton * M.
    + Thus, Rs/Vs in Dixon’s transfer function is replaced with 
       Ri/(Vramp_max – Ton * M).</t>
  </si>
  <si>
    <t xml:space="preserve">PSSI2021SAY CCS</t>
  </si>
  <si>
    <t xml:space="preserve">Desired I_out, A</t>
  </si>
  <si>
    <r>
      <rPr>
        <sz val="10"/>
        <rFont val="Arial"/>
        <family val="2"/>
      </rPr>
      <t xml:space="preserve">Ideal R_ext, </t>
    </r>
    <r>
      <rPr>
        <sz val="10"/>
        <color rgb="FF000000"/>
        <rFont val="Arial"/>
        <family val="2"/>
      </rPr>
      <t xml:space="preserve">Ω</t>
    </r>
  </si>
  <si>
    <r>
      <rPr>
        <sz val="10"/>
        <rFont val="Arial"/>
        <family val="2"/>
      </rPr>
      <t xml:space="preserve">Selected R_ext, </t>
    </r>
    <r>
      <rPr>
        <sz val="10"/>
        <color rgb="FF000000"/>
        <rFont val="Arial"/>
        <family val="2"/>
      </rPr>
      <t xml:space="preserve">Ω</t>
    </r>
  </si>
  <si>
    <t xml:space="preserve">Actual I_out, A</t>
  </si>
  <si>
    <t xml:space="preserve">V_ramp, V/uS</t>
  </si>
  <si>
    <t xml:space="preserve">C_ramp, F</t>
  </si>
  <si>
    <r>
      <rPr>
        <sz val="10"/>
        <rFont val="Arial"/>
        <family val="2"/>
      </rPr>
      <t xml:space="preserve">R_sense, </t>
    </r>
    <r>
      <rPr>
        <sz val="10"/>
        <color rgb="FF000000"/>
        <rFont val="Arial"/>
        <family val="2"/>
      </rPr>
      <t xml:space="preserve">Ω</t>
    </r>
  </si>
  <si>
    <t xml:space="preserve">M, V/uS</t>
  </si>
  <si>
    <r>
      <rPr>
        <sz val="10"/>
        <rFont val="Arial"/>
        <family val="2"/>
      </rPr>
      <t xml:space="preserve">R_ramp, </t>
    </r>
    <r>
      <rPr>
        <sz val="10"/>
        <color rgb="FF000000"/>
        <rFont val="Arial"/>
        <family val="2"/>
      </rPr>
      <t xml:space="preserve">Ω</t>
    </r>
  </si>
  <si>
    <t xml:space="preserve">Design Parameter</t>
  </si>
  <si>
    <t xml:space="preserve">Winding Requirements &amp; 
Toroid Parameters</t>
  </si>
  <si>
    <t xml:space="preserve">Selected wire AWG =</t>
  </si>
  <si>
    <t xml:space="preserve">Number of turns =</t>
  </si>
  <si>
    <t xml:space="preserve">Number of strands =</t>
  </si>
  <si>
    <t xml:space="preserve">Core dim. adjustment for previously wound layer(s), cm =</t>
  </si>
  <si>
    <r>
      <rPr>
        <sz val="12"/>
        <color rgb="FF000000"/>
        <rFont val="Calibri"/>
        <family val="2"/>
      </rPr>
      <t xml:space="preserve">Selected wire area cm</t>
    </r>
    <r>
      <rPr>
        <vertAlign val="superscript"/>
        <sz val="12"/>
        <color rgb="FF000000"/>
        <rFont val="Calibri"/>
        <family val="2"/>
      </rPr>
      <t xml:space="preserve">2</t>
    </r>
    <r>
      <rPr>
        <sz val="12"/>
        <color rgb="FF000000"/>
        <rFont val="Calibri"/>
        <family val="2"/>
      </rPr>
      <t xml:space="preserve"> = </t>
    </r>
  </si>
  <si>
    <t xml:space="preserve">Selected wire uΩ/cm =</t>
  </si>
  <si>
    <t xml:space="preserve">Selected wire dia w/insul, mm =</t>
  </si>
  <si>
    <t xml:space="preserve">Selected core manufacturer =</t>
  </si>
  <si>
    <t xml:space="preserve">TDK</t>
  </si>
  <si>
    <t xml:space="preserve">Selected core part # =</t>
  </si>
  <si>
    <t xml:space="preserve">B64290L0045X038</t>
  </si>
  <si>
    <t xml:space="preserve">Selected core OD, cm =</t>
  </si>
  <si>
    <t xml:space="preserve">Selected core ID, cm =</t>
  </si>
  <si>
    <t xml:space="preserve">Selected core height, cm =</t>
  </si>
  <si>
    <r>
      <rPr>
        <sz val="12"/>
        <color rgb="FF000000"/>
        <rFont val="Calibri"/>
        <family val="2"/>
      </rPr>
      <t xml:space="preserve">Selected core A</t>
    </r>
    <r>
      <rPr>
        <vertAlign val="subscript"/>
        <sz val="12"/>
        <color rgb="FF000000"/>
        <rFont val="Calibri (Body)"/>
        <family val="0"/>
      </rPr>
      <t xml:space="preserve">L</t>
    </r>
    <r>
      <rPr>
        <sz val="12"/>
        <color rgb="FF000000"/>
        <rFont val="Calibri"/>
        <family val="2"/>
      </rPr>
      <t xml:space="preserve">, nH/N2 =</t>
    </r>
  </si>
  <si>
    <t xml:space="preserve">Permeability tolerance, % =</t>
  </si>
  <si>
    <t xml:space="preserve">Available winding length, cm =</t>
  </si>
  <si>
    <t xml:space="preserve">Mean Length turn, cm =</t>
  </si>
  <si>
    <t xml:space="preserve">Winding width per turn, cm =</t>
  </si>
  <si>
    <t xml:space="preserve">Total winding Ω =</t>
  </si>
  <si>
    <t xml:space="preserve">Toroid Winding Calculator</t>
  </si>
  <si>
    <t xml:space="preserve">Turns/Layer</t>
  </si>
  <si>
    <t xml:space="preserve">Len/Str/Layer</t>
  </si>
  <si>
    <t xml:space="preserve">Mean length turn (cm) =</t>
  </si>
  <si>
    <t xml:space="preserve">Toroid inner diameter (cm) =</t>
  </si>
  <si>
    <t xml:space="preserve">Toroid inner radius (cm) =</t>
  </si>
  <si>
    <t xml:space="preserve">Toroid inner circumference (cm) =</t>
  </si>
  <si>
    <t xml:space="preserve">Number of turns layer 1 =</t>
  </si>
  <si>
    <t xml:space="preserve">Mean length turn layer 2 (cm) =</t>
  </si>
  <si>
    <t xml:space="preserve">Toroid inner radius w/layer 1 (cm) =</t>
  </si>
  <si>
    <t xml:space="preserve">Toroid inner circumference w/layer 1 (cm) =</t>
  </si>
  <si>
    <t xml:space="preserve">Number of turns layer 2 =</t>
  </si>
  <si>
    <t xml:space="preserve">Mean length turn layer 3 (cm) =</t>
  </si>
  <si>
    <t xml:space="preserve">Toroid inner radius w/layer 2 (cm) =</t>
  </si>
  <si>
    <t xml:space="preserve">Toroid inner circumference w/layer 2 (cm) =</t>
  </si>
  <si>
    <t xml:space="preserve">Number of turns layer 3 =</t>
  </si>
  <si>
    <t xml:space="preserve">Mean length turn layer 4 (cm) =</t>
  </si>
  <si>
    <t xml:space="preserve">Toroid inner radius w/layer 3 (cm) =</t>
  </si>
  <si>
    <t xml:space="preserve">Toroid inner circumference w/layer 3 (cm) =</t>
  </si>
  <si>
    <t xml:space="preserve">Number of turns layer 4 =</t>
  </si>
  <si>
    <t xml:space="preserve">Loop Design &amp; Compensation Network</t>
  </si>
  <si>
    <t xml:space="preserve">Power Stage Gain</t>
  </si>
  <si>
    <t xml:space="preserve">Frequency</t>
  </si>
  <si>
    <t xml:space="preserve">dB</t>
  </si>
  <si>
    <t xml:space="preserve">DC = </t>
  </si>
  <si>
    <t xml:space="preserve">1 Decade =</t>
  </si>
  <si>
    <t xml:space="preserve">Desired cross-over frequency, Fco =</t>
  </si>
  <si>
    <t xml:space="preserve">Power circuit zero @ MPPT =</t>
  </si>
  <si>
    <t xml:space="preserve">Switching frequency =</t>
  </si>
  <si>
    <t xml:space="preserve">Error Amp Compensation Network</t>
  </si>
  <si>
    <t xml:space="preserve">Gain resistor R1, Ω = </t>
  </si>
  <si>
    <t xml:space="preserve">Stock: 805, 1%</t>
  </si>
  <si>
    <t xml:space="preserve">Gain required to set unity at Fco, A = </t>
  </si>
  <si>
    <t xml:space="preserve">Feedback resistor R2, Ω =</t>
  </si>
  <si>
    <t xml:space="preserve">Select standard value for R2, Ω =</t>
  </si>
  <si>
    <t xml:space="preserve">Gain for standard value R2, dB =</t>
  </si>
  <si>
    <t xml:space="preserve">Approximate Fco using standard value R2, Hz =</t>
  </si>
  <si>
    <t xml:space="preserve">Desired C1 zero frequency, F_c1(z) =</t>
  </si>
  <si>
    <t xml:space="preserve">C1 value to set zero at F_c1(z) =</t>
  </si>
  <si>
    <t xml:space="preserve">Select standard value for C1 =</t>
  </si>
  <si>
    <t xml:space="preserve">Digikey #399-14620-1-ND</t>
  </si>
  <si>
    <t xml:space="preserve">C1 zero using standard value, F_c1(z) =</t>
  </si>
  <si>
    <t xml:space="preserve">Desired C2 pole frequency, F_c2(p) =</t>
  </si>
  <si>
    <t xml:space="preserve">C2 value to set pole at F_c2(p) =</t>
  </si>
  <si>
    <t xml:space="preserve">Select standard value for C2, F =</t>
  </si>
  <si>
    <t xml:space="preserve">Digikey #490-1640-2-ND</t>
  </si>
  <si>
    <t xml:space="preserve">C2 pole frequency based on standard value, F =</t>
  </si>
  <si>
    <t xml:space="preserve">Error Amp Gain</t>
  </si>
  <si>
    <t xml:space="preserve">Loop Gain Plot</t>
  </si>
  <si>
    <t xml:space="preserve">Modulator</t>
  </si>
  <si>
    <t xml:space="preserve">Error Amp</t>
  </si>
  <si>
    <t xml:space="preserve">Loop</t>
  </si>
  <si>
    <t xml:space="preserve">Three decades</t>
  </si>
  <si>
    <t xml:space="preserve">Gate Drive Requirements</t>
  </si>
  <si>
    <t xml:space="preserve">Inverter input voltage (Vin) :</t>
  </si>
  <si>
    <t xml:space="preserve">Nominal</t>
  </si>
  <si>
    <t xml:space="preserve">Transistor:</t>
  </si>
  <si>
    <t xml:space="preserve">SQP90142E</t>
  </si>
  <si>
    <t xml:space="preserve">Gate to Drain (reverse transfer) capacitance, Crss, pF = </t>
  </si>
  <si>
    <t xml:space="preserve">Gate to Source (input) capacitance, Ciss, pF = </t>
  </si>
  <si>
    <t xml:space="preserve">Coss, pF = </t>
  </si>
  <si>
    <t xml:space="preserve">Rise time, Tr, ns  = </t>
  </si>
  <si>
    <t xml:space="preserve">Using typical; not max. value</t>
  </si>
  <si>
    <t xml:space="preserve">Fall time, Tf, (seconds) = </t>
  </si>
  <si>
    <t xml:space="preserve">Vdd from data sheet for Tr spec, E = </t>
  </si>
  <si>
    <t xml:space="preserve">Drain voltage, Ed = </t>
  </si>
  <si>
    <t xml:space="preserve">Gate voltage, Eg = </t>
  </si>
  <si>
    <t xml:space="preserve">Current required, Iiss = </t>
  </si>
  <si>
    <t xml:space="preserve">Current required, Irss = </t>
  </si>
  <si>
    <t xml:space="preserve">Total required gate current, Ig = </t>
  </si>
  <si>
    <t xml:space="preserve">Total input capacitance, Cin = </t>
  </si>
  <si>
    <t xml:space="preserve">Gate resistor, Ω = </t>
  </si>
  <si>
    <r>
      <rPr>
        <sz val="10"/>
        <rFont val="Arial"/>
        <family val="2"/>
      </rPr>
      <t xml:space="preserve">Digikey #541-3.30TCT-ND, </t>
    </r>
    <r>
      <rPr>
        <sz val="10"/>
        <color rgb="FF000000"/>
        <rFont val="Arial"/>
        <family val="2"/>
      </rPr>
      <t xml:space="preserve">3.3 Ohms ±1% 0.5W, 1/2W Chip Resistor 0805 (2012 Metric) Automotive AEC-Q200, Pulse Withstanding Thick Film (stock)</t>
    </r>
  </si>
  <si>
    <t xml:space="preserve">Gate charge/discharge 1 time constant = </t>
  </si>
  <si>
    <t xml:space="preserve">Gate charge/discharge 3 time constants (effectively charged) = </t>
  </si>
  <si>
    <t xml:space="preserve">Peak resistor current = </t>
  </si>
  <si>
    <t xml:space="preserve">Constant (averaged) current required to replace gate charge =</t>
  </si>
  <si>
    <t xml:space="preserve">Resistor power dissipation (1st order, worst case) = </t>
  </si>
  <si>
    <t xml:space="preserve">RCD Snubber</t>
  </si>
  <si>
    <t xml:space="preserve">Value for snubber capacitor, C, = </t>
  </si>
  <si>
    <t xml:space="preserve">Capacitor value is established at minimum input voltage, V_in(min).</t>
  </si>
  <si>
    <t xml:space="preserve">Value for snubber resistor, R, (Ω) = </t>
  </si>
  <si>
    <t xml:space="preserve">Resistor value is established to set RC time constant at one half the on-time at V_in(nom).</t>
  </si>
  <si>
    <t xml:space="preserve">Standard value for snubber, C, = </t>
  </si>
  <si>
    <r>
      <rPr>
        <sz val="10"/>
        <color rgb="FF000000"/>
        <rFont val="Calibri"/>
        <family val="2"/>
      </rPr>
      <t xml:space="preserve">Digikey #445-175688-1-ND, </t>
    </r>
    <r>
      <rPr>
        <sz val="10"/>
        <color rgb="FF000000"/>
        <rFont val="Arial"/>
        <family val="2"/>
      </rPr>
      <t xml:space="preserve">1500pF ±5% 450V Ceramic Capacitor C0G, NP0 0805 (2012 Metric) (stock)</t>
    </r>
  </si>
  <si>
    <t xml:space="preserve">Standard value for snubber, R, (Ω) = </t>
  </si>
  <si>
    <t xml:space="preserve">Digikey #CRS2512-FX-1001ELFCT-ND, 1 kOhms ±1% 2W Chip Resistor 2512 (6432 Metric) High Voltage, Pulse Withstanding Thick Film (stock)</t>
  </si>
  <si>
    <t xml:space="preserve">Blocking diode V_f = </t>
  </si>
  <si>
    <t xml:space="preserve">Digikey #MBRS3200T3GOSCT-ND, Diode Schottky 200V 3A Surface Mount SMB (stock)</t>
  </si>
  <si>
    <t xml:space="preserve">Snubber resistor, R, power dissipation, watts = </t>
  </si>
  <si>
    <r>
      <rPr>
        <sz val="10"/>
        <color rgb="FF000000"/>
        <rFont val="Arial"/>
        <family val="2"/>
      </rPr>
      <t xml:space="preserve">To obtain maximum dissipation for PV systems, calculate at MPP values for input voltage and current (e.g. max. power).  The formula is derrived from the standard instantaneous power equation Ws=1/2CV</t>
    </r>
    <r>
      <rPr>
        <vertAlign val="superscript"/>
        <sz val="10"/>
        <color rgb="FF000000"/>
        <rFont val="Arial"/>
        <family val="2"/>
      </rPr>
      <t xml:space="preserve">2</t>
    </r>
    <r>
      <rPr>
        <sz val="10"/>
        <color rgb="FF000000"/>
        <rFont val="Arial"/>
        <family val="2"/>
      </rPr>
      <t xml:space="preserve">.  This value is multiplied by the switching frequency to obtain total dissipation.</t>
    </r>
  </si>
  <si>
    <t xml:space="preserve">Blocking diode average power dissipation, watts = </t>
  </si>
  <si>
    <t xml:space="preserve">Averaged over switching period, T</t>
  </si>
  <si>
    <t xml:space="preserve">Blocking diode average forward current, amps = </t>
  </si>
  <si>
    <t xml:space="preserve">1 RC time constant = </t>
  </si>
  <si>
    <t xml:space="preserve">Time margin @ D_n = </t>
  </si>
  <si>
    <t xml:space="preserve">Total supply current, amps = </t>
  </si>
  <si>
    <t xml:space="preserve">Represents the constant (averaged) current the snubber will consume.</t>
  </si>
  <si>
    <t xml:space="preserve">*** Parasitic Inductance Flyback Estimator ***</t>
  </si>
  <si>
    <t xml:space="preserve">Uses gate discharge time combined with fall time (Tf) and transformer maximum primary current to establish di/dt</t>
  </si>
  <si>
    <t xml:space="preserve">Parasitic inductance (H) = </t>
  </si>
  <si>
    <t xml:space="preserve">Estimate of TO220 lead inductance (Effect of Source Inductance on MOSFET Rise and Fall Times, Alan Elbanhawy) and assumes that gate driver source connection is not in current path.  Use maximum expected drain current.</t>
  </si>
  <si>
    <t xml:space="preserve">Peak flyback voltage (E) = </t>
  </si>
  <si>
    <t xml:space="preserve">Worst-case using fall time only – e.g. no slew from turn-off time.</t>
  </si>
  <si>
    <t xml:space="preserve">Flyback MOSFET</t>
  </si>
  <si>
    <t xml:space="preserve">Efficiency</t>
  </si>
  <si>
    <t xml:space="preserve">Power Dissipation</t>
  </si>
  <si>
    <t xml:space="preserve">Thermal Model</t>
  </si>
  <si>
    <t xml:space="preserve">Losses</t>
  </si>
  <si>
    <t xml:space="preserve">Planned</t>
  </si>
  <si>
    <t xml:space="preserve">Observed</t>
  </si>
  <si>
    <t xml:space="preserve">Transistor</t>
  </si>
  <si>
    <t xml:space="preserve">Static</t>
  </si>
  <si>
    <t xml:space="preserve">Forced</t>
  </si>
  <si>
    <t xml:space="preserve">Coupled inductor (from Titan)</t>
  </si>
  <si>
    <t xml:space="preserve">Estimate based on observed temperature with IR camera.</t>
  </si>
  <si>
    <t xml:space="preserve">Maximum Rds(on)</t>
  </si>
  <si>
    <t xml:space="preserve">Junction-Case, C/W</t>
  </si>
  <si>
    <t xml:space="preserve">C_ac snubber resistor Rd_ac</t>
  </si>
  <si>
    <t xml:space="preserve">Rise time, tr</t>
  </si>
  <si>
    <t xml:space="preserve">CT burden resistor</t>
  </si>
  <si>
    <t xml:space="preserve">Fall time, fr</t>
  </si>
  <si>
    <t xml:space="preserve">Case-Ambient, C/W</t>
  </si>
  <si>
    <r>
      <rPr>
        <sz val="10"/>
        <rFont val="Arial"/>
        <family val="2"/>
      </rPr>
      <t xml:space="preserve">Ref. hs-test-theta workbook.  Ohmite </t>
    </r>
    <r>
      <rPr>
        <sz val="10"/>
        <color rgb="FF000000"/>
        <rFont val="Arial"/>
        <family val="2"/>
      </rPr>
      <t xml:space="preserve">C220-025-1VE heatsink.  </t>
    </r>
    <r>
      <rPr>
        <sz val="10"/>
        <rFont val="Arial"/>
        <family val="2"/>
      </rPr>
      <t xml:space="preserve">Includes coefficient of tab-HS insulator &amp; Faraday screen.</t>
    </r>
  </si>
  <si>
    <t xml:space="preserve">Vsense voltage dividers (3)</t>
  </si>
  <si>
    <t xml:space="preserve">Omitted from original budget.</t>
  </si>
  <si>
    <t xml:space="preserve">Vds @ V_in(nom)</t>
  </si>
  <si>
    <t xml:space="preserve">Rise, C/W</t>
  </si>
  <si>
    <t xml:space="preserve">Switch gate drive resistor</t>
  </si>
  <si>
    <t xml:space="preserve">RMS Current @ V_in(nom) and P_out</t>
  </si>
  <si>
    <r>
      <rPr>
        <sz val="10"/>
        <rFont val="Arial"/>
        <family val="2"/>
      </rPr>
      <t xml:space="preserve">Rise T</t>
    </r>
    <r>
      <rPr>
        <vertAlign val="subscript"/>
        <sz val="12"/>
        <color rgb="FF000000"/>
        <rFont val="Calibri (Body)"/>
        <family val="0"/>
      </rPr>
      <t xml:space="preserve">J</t>
    </r>
    <r>
      <rPr>
        <sz val="12"/>
        <color rgb="FF000000"/>
        <rFont val="Calibri"/>
        <family val="2"/>
      </rPr>
      <t xml:space="preserve"> @ Max W</t>
    </r>
  </si>
  <si>
    <t xml:space="preserve">Switch snubber resistor</t>
  </si>
  <si>
    <t xml:space="preserve">Peak turn-off voltage &gt; 200.</t>
  </si>
  <si>
    <r>
      <rPr>
        <sz val="10"/>
        <rFont val="Arial"/>
        <family val="2"/>
      </rPr>
      <t xml:space="preserve">Max ambient, T</t>
    </r>
    <r>
      <rPr>
        <vertAlign val="subscript"/>
        <sz val="12"/>
        <color rgb="FF000000"/>
        <rFont val="Calibri (Body)"/>
        <family val="0"/>
      </rPr>
      <t xml:space="preserve">A(max)</t>
    </r>
  </si>
  <si>
    <t xml:space="preserve">Rectifier snubber resistor</t>
  </si>
  <si>
    <t xml:space="preserve">Added to eliminate ring</t>
  </si>
  <si>
    <t xml:space="preserve">Period</t>
  </si>
  <si>
    <r>
      <rPr>
        <sz val="10"/>
        <rFont val="Arial"/>
        <family val="2"/>
      </rPr>
      <t xml:space="preserve">T</t>
    </r>
    <r>
      <rPr>
        <vertAlign val="subscript"/>
        <sz val="12"/>
        <color rgb="FF000000"/>
        <rFont val="Calibri (Body)"/>
        <family val="0"/>
      </rPr>
      <t xml:space="preserve">J</t>
    </r>
    <r>
      <rPr>
        <sz val="12"/>
        <color rgb="FF000000"/>
        <rFont val="Calibri"/>
        <family val="2"/>
      </rPr>
      <t xml:space="preserve"> @ max working ambient, C</t>
    </r>
  </si>
  <si>
    <t xml:space="preserve">Switch</t>
  </si>
  <si>
    <t xml:space="preserve">Additional snubber dissipation doesn’t further reduce losses.</t>
  </si>
  <si>
    <t xml:space="preserve">Duty cycle @ V_in(nom)</t>
  </si>
  <si>
    <t xml:space="preserve">Rectifier</t>
  </si>
  <si>
    <t xml:space="preserve">Replaced with SDURF1540CT with higher Vf.</t>
  </si>
  <si>
    <r>
      <rPr>
        <sz val="10"/>
        <rFont val="Arial"/>
        <family val="2"/>
      </rPr>
      <t xml:space="preserve">Rise time loss, P</t>
    </r>
    <r>
      <rPr>
        <vertAlign val="subscript"/>
        <sz val="12"/>
        <color rgb="FF000000"/>
        <rFont val="Calibri (Body)"/>
        <family val="0"/>
      </rPr>
      <t xml:space="preserve">D(r)</t>
    </r>
  </si>
  <si>
    <t xml:space="preserve">Output caps (ESR)</t>
  </si>
  <si>
    <r>
      <rPr>
        <sz val="10"/>
        <rFont val="Arial"/>
        <family val="2"/>
      </rPr>
      <t xml:space="preserve">Fall time loss, P</t>
    </r>
    <r>
      <rPr>
        <vertAlign val="subscript"/>
        <sz val="12"/>
        <color rgb="FF000000"/>
        <rFont val="Calibri (Body)"/>
        <family val="0"/>
      </rPr>
      <t xml:space="preserve">D(f)</t>
    </r>
  </si>
  <si>
    <t xml:space="preserve">Total losses</t>
  </si>
  <si>
    <r>
      <rPr>
        <sz val="10"/>
        <rFont val="Arial"/>
        <family val="2"/>
      </rPr>
      <t xml:space="preserve">Conduction loss, P</t>
    </r>
    <r>
      <rPr>
        <vertAlign val="subscript"/>
        <sz val="12"/>
        <color rgb="FF000000"/>
        <rFont val="Calibri (Body)"/>
        <family val="0"/>
      </rPr>
      <t xml:space="preserve">D(c)</t>
    </r>
  </si>
  <si>
    <t xml:space="preserve">Less turn-off losses absorbed by snubber</t>
  </si>
  <si>
    <t xml:space="preserve">Net budget</t>
  </si>
  <si>
    <t xml:space="preserve">12TQ200</t>
  </si>
  <si>
    <t xml:space="preserve">Forward voltage @ V_f2</t>
  </si>
  <si>
    <t xml:space="preserve">Reverse recovery time, Trr</t>
  </si>
  <si>
    <t xml:space="preserve">RMS Current</t>
  </si>
  <si>
    <t xml:space="preserve">Maximum reverse voltage across diode</t>
  </si>
  <si>
    <r>
      <rPr>
        <sz val="10"/>
        <rFont val="Arial"/>
        <family val="2"/>
      </rPr>
      <t xml:space="preserve">Conduction loss, P</t>
    </r>
    <r>
      <rPr>
        <vertAlign val="subscript"/>
        <sz val="10"/>
        <color rgb="FF000000"/>
        <rFont val="Arial"/>
        <family val="2"/>
      </rPr>
      <t xml:space="preserve">D(c)(i)</t>
    </r>
  </si>
  <si>
    <t xml:space="preserve">Section / Sheet</t>
  </si>
  <si>
    <t xml:space="preserve">Reference</t>
  </si>
  <si>
    <t xml:space="preserve">Package</t>
  </si>
  <si>
    <t xml:space="preserve">Vendor</t>
  </si>
  <si>
    <t xml:space="preserve">Power Stage</t>
  </si>
  <si>
    <t xml:space="preserve">L1</t>
  </si>
  <si>
    <t xml:space="preserve">B65815E0160A041</t>
  </si>
  <si>
    <t xml:space="preserve">RM12</t>
  </si>
  <si>
    <t xml:space="preserve">Digikey</t>
  </si>
  <si>
    <t xml:space="preserve">495-5293-ND</t>
  </si>
  <si>
    <t xml:space="preserve">Uncoated N41 Ferrite Core RM Type 37.60mm Length 16.10mm Width  Diameter 12.30mm Height</t>
  </si>
  <si>
    <t xml:space="preserve">B65816C1512T001</t>
  </si>
  <si>
    <t xml:space="preserve">495-5303-ND</t>
  </si>
  <si>
    <t xml:space="preserve">BOBBIN COIL FORMER RM 12</t>
  </si>
  <si>
    <t xml:space="preserve">B65816A2002X000</t>
  </si>
  <si>
    <t xml:space="preserve">495-5302-ND</t>
  </si>
  <si>
    <t xml:space="preserve">CLAMP RM 12</t>
  </si>
  <si>
    <t xml:space="preserve">T1</t>
  </si>
  <si>
    <t xml:space="preserve">Toroid</t>
  </si>
  <si>
    <t xml:space="preserve">495-3854-ND</t>
  </si>
  <si>
    <t xml:space="preserve">Epoxy T38 Ferrite Core Toroid Type  Length  Width 17.20mm Diameter 7.30mm Height</t>
  </si>
  <si>
    <t xml:space="preserve">J3, J4</t>
  </si>
  <si>
    <t xml:space="preserve">5mm</t>
  </si>
  <si>
    <t xml:space="preserve">277-6405-ND</t>
  </si>
  <si>
    <t xml:space="preserve">2 Position Wire to Board Terminal Block Horizontal with Board 0.197" (5.00mm) Through Hole</t>
  </si>
  <si>
    <t xml:space="preserve">R11, R17, R20</t>
  </si>
  <si>
    <t xml:space="preserve">10.5K</t>
  </si>
  <si>
    <t xml:space="preserve">1210</t>
  </si>
  <si>
    <t xml:space="preserve">P10.5KAACT-ND</t>
  </si>
  <si>
    <t xml:space="preserve">10.5 kOhms ±1% 0.5W, 1/2W Chip Resistor 1210 (3225 Metric) Automotive AEC-Q200 Thick Film</t>
  </si>
  <si>
    <t xml:space="preserve">R12, R18, R21</t>
  </si>
  <si>
    <t xml:space="preserve">805</t>
  </si>
  <si>
    <t xml:space="preserve">P806CCT-ND</t>
  </si>
  <si>
    <t xml:space="preserve">RES SMD 806 OHM 1% 1/8W 0805</t>
  </si>
  <si>
    <t xml:space="preserve">C19</t>
  </si>
  <si>
    <t xml:space="preserve">330uF</t>
  </si>
  <si>
    <t xml:space="preserve">E7-5,18</t>
  </si>
  <si>
    <t xml:space="preserve">C20, C21, C29, C31</t>
  </si>
  <si>
    <t xml:space="preserve">1uF</t>
  </si>
  <si>
    <t xml:space="preserve">2220</t>
  </si>
  <si>
    <t xml:space="preserve">490-14683-1-ND</t>
  </si>
  <si>
    <t xml:space="preserve">1µF ±10% 200V Ceramic Capacitor X7R 2220 (5750 Metric)</t>
  </si>
  <si>
    <t xml:space="preserve">C22, C23, C26</t>
  </si>
  <si>
    <t xml:space="preserve">1.5uF</t>
  </si>
  <si>
    <t xml:space="preserve">Radial</t>
  </si>
  <si>
    <t xml:space="preserve">D3</t>
  </si>
  <si>
    <t xml:space="preserve">120V</t>
  </si>
  <si>
    <t xml:space="preserve">SMB</t>
  </si>
  <si>
    <t xml:space="preserve">1SMB5951BT3GOSCT-ND</t>
  </si>
  <si>
    <t xml:space="preserve">Zener Diode 120V 3W ±5% Surface Mount SMB</t>
  </si>
  <si>
    <t xml:space="preserve">Q2</t>
  </si>
  <si>
    <t xml:space="preserve">SQP90142E_GE3</t>
  </si>
  <si>
    <t xml:space="preserve">TO-220-AB</t>
  </si>
  <si>
    <t xml:space="preserve">SQP90142E_GE3-ND</t>
  </si>
  <si>
    <t xml:space="preserve">N-Channel 200V 78.5A (Tc) 250W (Tc) Through Hole TO-220AB</t>
  </si>
  <si>
    <t xml:space="preserve">R14</t>
  </si>
  <si>
    <t xml:space="preserve">1K</t>
  </si>
  <si>
    <t xml:space="preserve">2512</t>
  </si>
  <si>
    <t xml:space="preserve">CRS2512-FX-1001ELFCT-ND</t>
  </si>
  <si>
    <t xml:space="preserve">1 kOhms ±1% 2W Chip Resistor 2512 (6432 Metric) High Voltage, Pulse Withstanding Thick Film</t>
  </si>
  <si>
    <t xml:space="preserve">C30</t>
  </si>
  <si>
    <t xml:space="preserve">1.5nF</t>
  </si>
  <si>
    <t xml:space="preserve">445-175688-1-ND</t>
  </si>
  <si>
    <t xml:space="preserve">1500pF ±5% 450V Ceramic Capacitor C0G, NP0 0805 (2012 Metric)</t>
  </si>
  <si>
    <t xml:space="preserve">D4</t>
  </si>
  <si>
    <t xml:space="preserve">MBRS3200T3G</t>
  </si>
  <si>
    <t xml:space="preserve">MBRS3200T3GOSCT-ND</t>
  </si>
  <si>
    <t xml:space="preserve">Diode Schottky 200V 3A Surface Mount SMB </t>
  </si>
  <si>
    <t xml:space="preserve">U5</t>
  </si>
  <si>
    <t xml:space="preserve">IRS21864SPBF</t>
  </si>
  <si>
    <t xml:space="preserve">SOIC-14</t>
  </si>
  <si>
    <t xml:space="preserve">IRS21864SPBF-ND</t>
  </si>
  <si>
    <t xml:space="preserve">Half-Bridge Gate Driver IC Non-Inverting 14-SOIC</t>
  </si>
  <si>
    <t xml:space="preserve">R15</t>
  </si>
  <si>
    <t xml:space="preserve">541-3.30TCT-ND</t>
  </si>
  <si>
    <t xml:space="preserve">3.3 Ohms ±1% 0.5W, 1/2W Chip Resistor 0805 (2012 Metric) Automotive AEC-Q200, Pulse Withstanding Thick Film</t>
  </si>
  <si>
    <t xml:space="preserve">C25, C32</t>
  </si>
  <si>
    <t xml:space="preserve">100nF</t>
  </si>
  <si>
    <t xml:space="preserve">1276-1090-1-ND</t>
  </si>
  <si>
    <t xml:space="preserve">0.1µF ±5% 50V Ceramic Capacitor X7R 0805 (2012 Metric) </t>
  </si>
  <si>
    <t xml:space="preserve">C28</t>
  </si>
  <si>
    <t xml:space="preserve">10uF</t>
  </si>
  <si>
    <t xml:space="preserve">1276-3388-1-ND</t>
  </si>
  <si>
    <t xml:space="preserve">10µF ±10% 50V Ceramic Capacitor X7R 1210 (3225 Metric) </t>
  </si>
  <si>
    <t xml:space="preserve">R16</t>
  </si>
  <si>
    <t xml:space="preserve">270K</t>
  </si>
  <si>
    <t xml:space="preserve">1206</t>
  </si>
  <si>
    <t xml:space="preserve">A130567CT-ND</t>
  </si>
  <si>
    <t xml:space="preserve">270 kOhms ±1% 0.5W, 1/2W Chip Resistor 1206 (3216 Metric) Pulse Withstanding Thick Film</t>
  </si>
  <si>
    <t xml:space="preserve">D5</t>
  </si>
  <si>
    <t xml:space="preserve">SMA</t>
  </si>
  <si>
    <t xml:space="preserve">497-7545-1-ND</t>
  </si>
  <si>
    <t xml:space="preserve">Diode Schottky 150V 1A Surface Mount SMA </t>
  </si>
  <si>
    <t xml:space="preserve">R19</t>
  </si>
  <si>
    <t xml:space="preserve">1218</t>
  </si>
  <si>
    <t xml:space="preserve">541-40.2ANCT-ND</t>
  </si>
  <si>
    <t xml:space="preserve">40.2 Ohms ±1% 1.5W Chip Resistor 1218 (3246 Metric) Automotive AEC-Q200, Pulse Withstanding Thick Film</t>
  </si>
  <si>
    <t xml:space="preserve">C33</t>
  </si>
  <si>
    <t xml:space="preserve">470pF</t>
  </si>
  <si>
    <t xml:space="preserve">399-1133-1-ND</t>
  </si>
  <si>
    <t xml:space="preserve">470pF ±5% 50V Ceramic Capacitor C0G, NP0 0805 (2012 Metric)</t>
  </si>
  <si>
    <t xml:space="preserve">D6</t>
  </si>
  <si>
    <t xml:space="preserve">5.1V</t>
  </si>
  <si>
    <t xml:space="preserve">SOD-323F</t>
  </si>
  <si>
    <t xml:space="preserve">641-1061-1-ND</t>
  </si>
  <si>
    <t xml:space="preserve">Zener Diode 5.1V 200mW ±5% Surface Mount 1005/SOD-323F</t>
  </si>
  <si>
    <t xml:space="preserve">D2</t>
  </si>
  <si>
    <t xml:space="preserve">TO-220-AC</t>
  </si>
  <si>
    <t xml:space="preserve">1655-1003-ND</t>
  </si>
  <si>
    <t xml:space="preserve">Diode Schottky 200V 15A Through Hole TO-220AC</t>
  </si>
  <si>
    <t xml:space="preserve">HS1, HS2</t>
  </si>
  <si>
    <t xml:space="preserve">C220-025-1VE</t>
  </si>
  <si>
    <t xml:space="preserve">1 x TO220</t>
  </si>
  <si>
    <t xml:space="preserve">C220-025-1VE-ND</t>
  </si>
  <si>
    <t xml:space="preserve">Heat Sink TO-220 Aluminum  Board Level, Vertical</t>
  </si>
  <si>
    <t xml:space="preserve">Controller</t>
  </si>
  <si>
    <t xml:space="preserve">J1</t>
  </si>
  <si>
    <t xml:space="preserve">277-16667-ND</t>
  </si>
  <si>
    <t xml:space="preserve">C1</t>
  </si>
  <si>
    <t xml:space="preserve">270uF</t>
  </si>
  <si>
    <t xml:space="preserve">E5-10,5</t>
  </si>
  <si>
    <t xml:space="preserve">35PZE270M10X9-ND</t>
  </si>
  <si>
    <t xml:space="preserve">270µF 35V Aluminum Polymer Capacitor Radial, Can 20 mOhm 10000 Hrs @ 105°C</t>
  </si>
  <si>
    <t xml:space="preserve">C2, C3, C11, C13</t>
  </si>
  <si>
    <t xml:space="preserve">311-1886-1-ND</t>
  </si>
  <si>
    <t xml:space="preserve">1µF ±10% 50V Ceramic Capacitor X7R 0805 (2012 Metric)</t>
  </si>
  <si>
    <t xml:space="preserve">C4, C5, C10, C12, C14, C15, C17, C18</t>
  </si>
  <si>
    <t xml:space="preserve">C9, C16</t>
  </si>
  <si>
    <t xml:space="preserve">U2</t>
  </si>
  <si>
    <t xml:space="preserve">5V</t>
  </si>
  <si>
    <t xml:space="preserve">TO-252-3</t>
  </si>
  <si>
    <t xml:space="preserve">NCP1117DT50GOS-ND</t>
  </si>
  <si>
    <t xml:space="preserve">Linear Voltage Regulator IC Positive Fixed Output 5V 1A DPAK-3 </t>
  </si>
  <si>
    <t xml:space="preserve">J2</t>
  </si>
  <si>
    <t xml:space="preserve">ZX62-AB-5PA(31)</t>
  </si>
  <si>
    <t xml:space="preserve">Shell SMT</t>
  </si>
  <si>
    <t xml:space="preserve">H125279CT-ND</t>
  </si>
  <si>
    <t xml:space="preserve">CONN RCPT USB MICRO AB SMD R/A</t>
  </si>
  <si>
    <t xml:space="preserve">D1</t>
  </si>
  <si>
    <t xml:space="preserve">WP937EGW</t>
  </si>
  <si>
    <t xml:space="preserve">3mm t-h</t>
  </si>
  <si>
    <t xml:space="preserve">754-1751-ND</t>
  </si>
  <si>
    <t xml:space="preserve">Kingbright LED grn/red diff 3mm round T/H</t>
  </si>
  <si>
    <t xml:space="preserve">R2, R4, R6, R7, R8, R9, R10</t>
  </si>
  <si>
    <t xml:space="preserve">P1.00KCCT-ND</t>
  </si>
  <si>
    <t xml:space="preserve">RES SMD 1K OHM 1% 1/8W 0805</t>
  </si>
  <si>
    <t xml:space="preserve">U1</t>
  </si>
  <si>
    <t xml:space="preserve">PSSI2021SAY,115</t>
  </si>
  <si>
    <t xml:space="preserve">SOT-353</t>
  </si>
  <si>
    <t xml:space="preserve">1727-4328-1-ND</t>
  </si>
  <si>
    <t xml:space="preserve">Current Source Regulator  50mA 5-TSSOP</t>
  </si>
  <si>
    <t xml:space="preserve">R1</t>
  </si>
  <si>
    <t xml:space="preserve">P649CCT-ND</t>
  </si>
  <si>
    <t xml:space="preserve">RES SMD 649 OHM 1% 1/8W 0805</t>
  </si>
  <si>
    <t xml:space="preserve">C7</t>
  </si>
  <si>
    <t xml:space="preserve">1nF</t>
  </si>
  <si>
    <t xml:space="preserve">399-1136-1-ND</t>
  </si>
  <si>
    <t xml:space="preserve">1000pF ±5% 50V Ceramic Capacitor C0G, NP0 0805 (2012 Metric)</t>
  </si>
  <si>
    <t xml:space="preserve">Q1</t>
  </si>
  <si>
    <t xml:space="preserve">BSN20</t>
  </si>
  <si>
    <t xml:space="preserve">SOT-23</t>
  </si>
  <si>
    <t xml:space="preserve">BSN20-7DICT-ND</t>
  </si>
  <si>
    <t xml:space="preserve">MOSFET N-CH 50V 500MA SOT23 </t>
  </si>
  <si>
    <t xml:space="preserve">U3</t>
  </si>
  <si>
    <t xml:space="preserve">OPA197IDBVT</t>
  </si>
  <si>
    <t xml:space="preserve">SOT23-5</t>
  </si>
  <si>
    <t xml:space="preserve">296-44076-1-ND</t>
  </si>
  <si>
    <t xml:space="preserve">General Purpose Amplifier 1 Circuit Rail-to-Rail SOT-23-5</t>
  </si>
  <si>
    <t xml:space="preserve">R5</t>
  </si>
  <si>
    <t xml:space="preserve">4.02K</t>
  </si>
  <si>
    <t xml:space="preserve">P4.02KCCT-ND</t>
  </si>
  <si>
    <t xml:space="preserve">4.02 kOhms ±1% 0.125W, 1/8W Chip Resistor 0805 (2012 Metric) Automotive AEC-Q200 Thick Film</t>
  </si>
  <si>
    <t xml:space="preserve">C6</t>
  </si>
  <si>
    <t xml:space="preserve">56nF</t>
  </si>
  <si>
    <t xml:space="preserve">399-14620-1-ND</t>
  </si>
  <si>
    <t xml:space="preserve">0.056µF ±5% 50V Ceramic Capacitor X7R 0805 (2012 Metric)</t>
  </si>
  <si>
    <t xml:space="preserve">C8</t>
  </si>
  <si>
    <t xml:space="preserve">8.2nF</t>
  </si>
  <si>
    <t xml:space="preserve">490-1640-1-ND</t>
  </si>
  <si>
    <t xml:space="preserve">8200pF ±5% 50V Ceramic Capacitor C0G, NP0 0805 (2012 Metric)</t>
  </si>
  <si>
    <t xml:space="preserve">R3</t>
  </si>
  <si>
    <t xml:space="preserve">P698CCT-ND</t>
  </si>
  <si>
    <t xml:space="preserve">RES SMD 698 OHM 1% 1/8W 0805</t>
  </si>
  <si>
    <t xml:space="preserve">U4</t>
  </si>
  <si>
    <t xml:space="preserve">PIC16F1769-I/SO</t>
  </si>
  <si>
    <t xml:space="preserve">20-SOIC</t>
  </si>
  <si>
    <t xml:space="preserve">PIC16F1769-I/SO-ND</t>
  </si>
  <si>
    <t xml:space="preserve">PIC PIC® XLP™ 16F Microcontroller IC 8-Bit 32MHz 14KB (8K x 14) FLASH 20-SOIC</t>
  </si>
  <si>
    <t xml:space="preserve">AWG</t>
  </si>
  <si>
    <t xml:space="preserve">Diameter</t>
  </si>
  <si>
    <t xml:space="preserve">Turns of wire,
no insulation</t>
  </si>
  <si>
    <t xml:space="preserve">Area</t>
  </si>
  <si>
    <t xml:space="preserve">Copper Resistance</t>
  </si>
  <si>
    <t xml:space="preserve">(in)</t>
  </si>
  <si>
    <t xml:space="preserve">Bare
(mm)</t>
  </si>
  <si>
    <t xml:space="preserve">With Insul
(mm)</t>
  </si>
  <si>
    <t xml:space="preserve">(per in)</t>
  </si>
  <si>
    <t xml:space="preserve">(per cm)</t>
  </si>
  <si>
    <t xml:space="preserve">(kcmil)</t>
  </si>
  <si>
    <r>
      <rPr>
        <b val="true"/>
        <sz val="12"/>
        <color rgb="FF000000"/>
        <rFont val="Calibri"/>
        <family val="2"/>
      </rPr>
      <t xml:space="preserve">(cm</t>
    </r>
    <r>
      <rPr>
        <b val="true"/>
        <vertAlign val="superscript"/>
        <sz val="12"/>
        <color rgb="FF000000"/>
        <rFont val="Calibri"/>
        <family val="2"/>
      </rPr>
      <t xml:space="preserve">2</t>
    </r>
    <r>
      <rPr>
        <b val="true"/>
        <sz val="12"/>
        <color rgb="FF000000"/>
        <rFont val="Calibri"/>
        <family val="2"/>
      </rPr>
      <t xml:space="preserve">)</t>
    </r>
  </si>
  <si>
    <r>
      <rPr>
        <b val="true"/>
        <sz val="12"/>
        <color rgb="FF000000"/>
        <rFont val="Calibri"/>
        <family val="2"/>
      </rPr>
      <t xml:space="preserve">(mm</t>
    </r>
    <r>
      <rPr>
        <b val="true"/>
        <vertAlign val="superscript"/>
        <sz val="12"/>
        <color rgb="FF000000"/>
        <rFont val="Calibri"/>
        <family val="2"/>
      </rPr>
      <t xml:space="preserve">2</t>
    </r>
    <r>
      <rPr>
        <b val="true"/>
        <sz val="12"/>
        <color rgb="FF000000"/>
        <rFont val="Calibri"/>
        <family val="2"/>
      </rPr>
      <t xml:space="preserve">)</t>
    </r>
  </si>
  <si>
    <t xml:space="preserve">(mΩ/m)</t>
  </si>
  <si>
    <t xml:space="preserve">(uΩ/cm)</t>
  </si>
  <si>
    <t xml:space="preserve">(mΩ/ft)</t>
  </si>
</sst>
</file>

<file path=xl/styles.xml><?xml version="1.0" encoding="utf-8"?>
<styleSheet xmlns="http://schemas.openxmlformats.org/spreadsheetml/2006/main">
  <numFmts count="33">
    <numFmt numFmtId="164" formatCode="General"/>
    <numFmt numFmtId="165" formatCode="#,###.000"/>
    <numFmt numFmtId="166" formatCode="0.000%"/>
    <numFmt numFmtId="167" formatCode="##0.00E+00"/>
    <numFmt numFmtId="168" formatCode="#,##0.000"/>
    <numFmt numFmtId="169" formatCode="0.000E+00"/>
    <numFmt numFmtId="170" formatCode="0"/>
    <numFmt numFmtId="171" formatCode="0.000"/>
    <numFmt numFmtId="172" formatCode="0.00%"/>
    <numFmt numFmtId="173" formatCode="#,##0"/>
    <numFmt numFmtId="174" formatCode="#,##0.00"/>
    <numFmt numFmtId="175" formatCode="#,##0.00000"/>
    <numFmt numFmtId="176" formatCode="0.0000E+00"/>
    <numFmt numFmtId="177" formatCode="@"/>
    <numFmt numFmtId="178" formatCode="\ * #,##0.00\ ;\ * \(#,##0.00\);\ * \-#\ ;\ @\ "/>
    <numFmt numFmtId="179" formatCode="\ * #,##0\ ;\-* #,##0\ ;\ * \-#\ ;\ @\ "/>
    <numFmt numFmtId="180" formatCode="0.00E+00"/>
    <numFmt numFmtId="181" formatCode="0.0000"/>
    <numFmt numFmtId="182" formatCode="0.00000E+00"/>
    <numFmt numFmtId="183" formatCode="0.00000"/>
    <numFmt numFmtId="184" formatCode="\ * #,##0\ ;\ * \(#,##0\);\ * \-#\ ;\ @\ "/>
    <numFmt numFmtId="185" formatCode="0.00"/>
    <numFmt numFmtId="186" formatCode="0.000E+00;\\"/>
    <numFmt numFmtId="187" formatCode="0%"/>
    <numFmt numFmtId="188" formatCode="0.00000%"/>
    <numFmt numFmtId="189" formatCode="0.000000"/>
    <numFmt numFmtId="190" formatCode="\ * #,##0.0000\ ;\-* #,##0.0000\ ;\ * \-#\ ;\ @\ "/>
    <numFmt numFmtId="191" formatCode="#,##0.0000"/>
    <numFmt numFmtId="192" formatCode="0.0"/>
    <numFmt numFmtId="193" formatCode="0.000000E+00"/>
    <numFmt numFmtId="194" formatCode="D\-MMM"/>
    <numFmt numFmtId="195" formatCode="#,##0.000\ ;\(#,##0.000\)"/>
    <numFmt numFmtId="196" formatCode="0.0000000"/>
  </numFmts>
  <fonts count="40">
    <font>
      <sz val="10"/>
      <name val="Arial"/>
      <family val="2"/>
    </font>
    <font>
      <sz val="10"/>
      <name val="Arial"/>
      <family val="0"/>
    </font>
    <font>
      <sz val="10"/>
      <name val="Arial"/>
      <family val="0"/>
    </font>
    <font>
      <sz val="10"/>
      <name val="Arial"/>
      <family val="0"/>
    </font>
    <font>
      <sz val="10"/>
      <color rgb="FF000000"/>
      <name val="Lohit Devanagari"/>
      <family val="2"/>
    </font>
    <font>
      <sz val="10"/>
      <name val="Lohit Devanagari"/>
      <family val="2"/>
    </font>
    <font>
      <sz val="10"/>
      <color rgb="FF333333"/>
      <name val="Lohit Devanagari"/>
      <family val="2"/>
    </font>
    <font>
      <sz val="10"/>
      <color rgb="FF808080"/>
      <name val="Lohit Devanagari"/>
      <family val="2"/>
    </font>
    <font>
      <u val="single"/>
      <sz val="10"/>
      <color rgb="FF0000EE"/>
      <name val="Lohit Devanagari"/>
      <family val="2"/>
    </font>
    <font>
      <sz val="10"/>
      <color rgb="FF006600"/>
      <name val="Lohit Devanagari"/>
      <family val="2"/>
    </font>
    <font>
      <sz val="10"/>
      <color rgb="FF996600"/>
      <name val="Lohit Devanagari"/>
      <family val="2"/>
    </font>
    <font>
      <sz val="10"/>
      <color rgb="FFCC0000"/>
      <name val="Lohit Devanagari"/>
      <family val="2"/>
    </font>
    <font>
      <sz val="10"/>
      <color rgb="FFFFFFFF"/>
      <name val="Lohit Devanagari"/>
      <family val="2"/>
    </font>
    <font>
      <sz val="10"/>
      <name val="FreeMono"/>
      <family val="3"/>
    </font>
    <font>
      <b val="true"/>
      <sz val="12"/>
      <name val="Arial"/>
      <family val="2"/>
    </font>
    <font>
      <b val="true"/>
      <sz val="10"/>
      <name val="Arial"/>
      <family val="2"/>
    </font>
    <font>
      <b val="true"/>
      <sz val="10"/>
      <name val="FreeMono"/>
      <family val="3"/>
    </font>
    <font>
      <sz val="10"/>
      <color rgb="FF000000"/>
      <name val="Arial"/>
      <family val="2"/>
    </font>
    <font>
      <u val="single"/>
      <sz val="10"/>
      <name val="Arial"/>
      <family val="2"/>
    </font>
    <font>
      <b val="true"/>
      <sz val="10"/>
      <color rgb="FF000000"/>
      <name val="Arial"/>
      <family val="2"/>
    </font>
    <font>
      <b val="true"/>
      <vertAlign val="subscript"/>
      <sz val="10"/>
      <color rgb="FF000000"/>
      <name val="Arial"/>
      <family val="2"/>
    </font>
    <font>
      <sz val="12"/>
      <color rgb="FF000000"/>
      <name val="Calibri"/>
      <family val="2"/>
    </font>
    <font>
      <vertAlign val="subscript"/>
      <sz val="12"/>
      <color rgb="FF000000"/>
      <name val="Calibri"/>
      <family val="2"/>
    </font>
    <font>
      <b val="true"/>
      <sz val="12"/>
      <color rgb="FF000000"/>
      <name val="Calibri"/>
      <family val="2"/>
    </font>
    <font>
      <vertAlign val="subscript"/>
      <sz val="12"/>
      <color rgb="FF000000"/>
      <name val="Calibri (Body)"/>
      <family val="0"/>
    </font>
    <font>
      <u val="single"/>
      <sz val="12"/>
      <color rgb="FF000000"/>
      <name val="Calibri"/>
      <family val="2"/>
    </font>
    <font>
      <vertAlign val="subscript"/>
      <sz val="10"/>
      <color rgb="FF000000"/>
      <name val="Arial"/>
      <family val="2"/>
    </font>
    <font>
      <vertAlign val="superscript"/>
      <sz val="10"/>
      <color rgb="FF000000"/>
      <name val="Arial"/>
      <family val="2"/>
    </font>
    <font>
      <vertAlign val="superscript"/>
      <sz val="12"/>
      <color rgb="FF000000"/>
      <name val="Calibri"/>
      <family val="2"/>
    </font>
    <font>
      <sz val="14"/>
      <color rgb="FF595959"/>
      <name val="Calibri"/>
      <family val="2"/>
    </font>
    <font>
      <sz val="9"/>
      <color rgb="FF595959"/>
      <name val="Calibri"/>
      <family val="2"/>
    </font>
    <font>
      <sz val="10"/>
      <color rgb="FF595959"/>
      <name val="Calibri"/>
      <family val="2"/>
    </font>
    <font>
      <b val="true"/>
      <sz val="12"/>
      <color rgb="FF000000"/>
      <name val="Arial"/>
      <family val="2"/>
    </font>
    <font>
      <sz val="10"/>
      <color rgb="FF000000"/>
      <name val="Calibri"/>
      <family val="2"/>
    </font>
    <font>
      <b val="true"/>
      <u val="single"/>
      <sz val="10"/>
      <name val="Arial"/>
      <family val="2"/>
    </font>
    <font>
      <sz val="12"/>
      <name val="Arial"/>
      <family val="2"/>
    </font>
    <font>
      <u val="single"/>
      <sz val="12"/>
      <color rgb="FF0000FF"/>
      <name val="Calibri"/>
      <family val="2"/>
    </font>
    <font>
      <b val="true"/>
      <vertAlign val="superscript"/>
      <sz val="12"/>
      <color rgb="FF000000"/>
      <name val="Calibri"/>
      <family val="2"/>
    </font>
    <font>
      <b val="true"/>
      <sz val="9"/>
      <color rgb="FF000000"/>
      <name val="Calibri"/>
      <family val="2"/>
    </font>
    <font>
      <sz val="9"/>
      <color rgb="FF000000"/>
      <name val="Calibri"/>
      <family val="2"/>
    </font>
  </fonts>
  <fills count="22">
    <fill>
      <patternFill patternType="none"/>
    </fill>
    <fill>
      <patternFill patternType="gray125"/>
    </fill>
    <fill>
      <patternFill patternType="solid">
        <fgColor rgb="FFFFFFCC"/>
        <bgColor rgb="FFFFFFFF"/>
      </patternFill>
    </fill>
    <fill>
      <patternFill patternType="solid">
        <fgColor rgb="FFCCFFCC"/>
        <bgColor rgb="FFF2F2F2"/>
      </patternFill>
    </fill>
    <fill>
      <patternFill patternType="solid">
        <fgColor rgb="FFFFCCCC"/>
        <bgColor rgb="FFFAC090"/>
      </patternFill>
    </fill>
    <fill>
      <patternFill patternType="solid">
        <fgColor rgb="FFCC0000"/>
        <bgColor rgb="FF800000"/>
      </patternFill>
    </fill>
    <fill>
      <patternFill patternType="solid">
        <fgColor rgb="FF000000"/>
        <bgColor rgb="FF003300"/>
      </patternFill>
    </fill>
    <fill>
      <patternFill patternType="solid">
        <fgColor rgb="FF808080"/>
        <bgColor rgb="FF8F93C7"/>
      </patternFill>
    </fill>
    <fill>
      <patternFill patternType="solid">
        <fgColor rgb="FFDDDDDD"/>
        <bgColor rgb="FFD9D9D9"/>
      </patternFill>
    </fill>
    <fill>
      <patternFill patternType="solid">
        <fgColor rgb="FFFFF200"/>
        <bgColor rgb="FFFFFF00"/>
      </patternFill>
    </fill>
    <fill>
      <patternFill patternType="solid">
        <fgColor rgb="FFADC5E7"/>
        <bgColor rgb="FFBFBFBF"/>
      </patternFill>
    </fill>
    <fill>
      <patternFill patternType="solid">
        <fgColor rgb="FF87D1D1"/>
        <bgColor rgb="FFADC5E7"/>
      </patternFill>
    </fill>
    <fill>
      <patternFill patternType="solid">
        <fgColor rgb="FF8F93C7"/>
        <bgColor rgb="FF5E8AC7"/>
      </patternFill>
    </fill>
    <fill>
      <patternFill patternType="solid">
        <fgColor rgb="FF5E8AC7"/>
        <bgColor rgb="FF4F81BD"/>
      </patternFill>
    </fill>
    <fill>
      <patternFill patternType="solid">
        <fgColor rgb="FF65C295"/>
        <bgColor rgb="FF89C765"/>
      </patternFill>
    </fill>
    <fill>
      <patternFill patternType="solid">
        <fgColor rgb="FF89C765"/>
        <bgColor rgb="FF92D050"/>
      </patternFill>
    </fill>
    <fill>
      <patternFill patternType="solid">
        <fgColor rgb="FFFFFF00"/>
        <bgColor rgb="FFFFF200"/>
      </patternFill>
    </fill>
    <fill>
      <patternFill patternType="solid">
        <fgColor rgb="FFD9D9D9"/>
        <bgColor rgb="FFDDDDDD"/>
      </patternFill>
    </fill>
    <fill>
      <patternFill patternType="solid">
        <fgColor rgb="FF92D050"/>
        <bgColor rgb="FF89C765"/>
      </patternFill>
    </fill>
    <fill>
      <patternFill patternType="solid">
        <fgColor rgb="FFC4BD97"/>
        <bgColor rgb="FFBFBFBF"/>
      </patternFill>
    </fill>
    <fill>
      <patternFill patternType="solid">
        <fgColor rgb="FFFAC090"/>
        <bgColor rgb="FFFFCCCC"/>
      </patternFill>
    </fill>
    <fill>
      <patternFill patternType="solid">
        <fgColor rgb="FFF2F2F2"/>
        <bgColor rgb="FFFFFFFF"/>
      </patternFill>
    </fill>
  </fills>
  <borders count="52">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medium"/>
      <right style="medium"/>
      <top style="medium"/>
      <bottom/>
      <diagonal/>
    </border>
    <border diagonalUp="false" diagonalDown="false">
      <left style="hair"/>
      <right style="hair"/>
      <top style="hair"/>
      <bottom/>
      <diagonal/>
    </border>
    <border diagonalUp="false" diagonalDown="false">
      <left style="thin"/>
      <right/>
      <top/>
      <bottom/>
      <diagonal/>
    </border>
    <border diagonalUp="false" diagonalDown="false">
      <left/>
      <right style="thin"/>
      <top/>
      <botto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bottom/>
      <diagonal/>
    </border>
    <border diagonalUp="false" diagonalDown="false">
      <left/>
      <right style="medium"/>
      <top/>
      <bottom/>
      <diagonal/>
    </border>
    <border diagonalUp="false" diagonalDown="false">
      <left style="hair"/>
      <right/>
      <top/>
      <bottom/>
      <diagonal/>
    </border>
    <border diagonalUp="false" diagonalDown="false">
      <left/>
      <right style="hair"/>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bottom style="thin"/>
      <diagonal/>
    </border>
    <border diagonalUp="false" diagonalDown="false">
      <left/>
      <right style="thin"/>
      <top/>
      <bottom style="thin"/>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right/>
      <top/>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medium"/>
      <top style="medium"/>
      <bottom style="medium"/>
      <diagonal/>
    </border>
    <border diagonalUp="false" diagonalDown="false">
      <left/>
      <right/>
      <top style="thin"/>
      <bottom/>
      <diagonal/>
    </border>
    <border diagonalUp="false" diagonalDown="false">
      <left style="thin"/>
      <right/>
      <top/>
      <bottom style="medium"/>
      <diagonal/>
    </border>
    <border diagonalUp="false" diagonalDown="false">
      <left/>
      <right/>
      <top/>
      <bottom style="medium"/>
      <diagonal/>
    </border>
    <border diagonalUp="false" diagonalDown="false">
      <left/>
      <right style="thin"/>
      <top/>
      <bottom style="mediu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right style="medium"/>
      <top/>
      <bottom style="thin"/>
      <diagonal/>
    </border>
    <border diagonalUp="false" diagonalDown="false">
      <left/>
      <right style="medium"/>
      <top style="thin"/>
      <bottom/>
      <diagonal/>
    </border>
    <border diagonalUp="false" diagonalDown="false">
      <left style="thin"/>
      <right style="thin"/>
      <top/>
      <bottom/>
      <diagonal/>
    </border>
    <border diagonalUp="false" diagonalDown="false">
      <left style="thin"/>
      <right style="thin"/>
      <top/>
      <bottom style="thin"/>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8" fontId="5"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87" fontId="21" fillId="0" borderId="0" applyFont="true" applyBorder="false" applyAlignment="true" applyProtection="false">
      <alignment horizontal="general" vertical="bottom" textRotation="0" wrapText="false" indent="0" shrinkToFit="false"/>
    </xf>
    <xf numFmtId="164" fontId="36"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false" applyProtection="false"/>
    <xf numFmtId="164" fontId="6" fillId="2" borderId="1" applyFont="true" applyBorder="true" applyAlignment="false" applyProtection="false"/>
    <xf numFmtId="164" fontId="7" fillId="0" borderId="0" applyFont="true" applyBorder="false" applyAlignment="false" applyProtection="false"/>
    <xf numFmtId="164" fontId="8" fillId="0" borderId="0" applyFont="true" applyBorder="false" applyAlignment="false" applyProtection="false"/>
    <xf numFmtId="164" fontId="5" fillId="0" borderId="0" applyFont="true" applyBorder="false" applyAlignment="false" applyProtection="false"/>
    <xf numFmtId="164" fontId="9" fillId="3" borderId="0" applyFont="true" applyBorder="false" applyAlignment="false" applyProtection="false"/>
    <xf numFmtId="164" fontId="10" fillId="2" borderId="0" applyFont="true" applyBorder="false" applyAlignment="false" applyProtection="false"/>
    <xf numFmtId="164" fontId="11" fillId="4" borderId="0" applyFont="true" applyBorder="false" applyAlignment="false" applyProtection="false"/>
    <xf numFmtId="164" fontId="11" fillId="0" borderId="0" applyFont="true" applyBorder="false" applyAlignment="false" applyProtection="false"/>
    <xf numFmtId="164" fontId="12" fillId="5" borderId="0" applyFont="true" applyBorder="false" applyAlignment="false" applyProtection="false"/>
    <xf numFmtId="164" fontId="4" fillId="0" borderId="0" applyFont="true" applyBorder="false" applyAlignment="false" applyProtection="false"/>
    <xf numFmtId="164" fontId="12" fillId="6" borderId="0" applyFont="true" applyBorder="false" applyAlignment="false" applyProtection="false"/>
    <xf numFmtId="164" fontId="12" fillId="7" borderId="0" applyFont="true" applyBorder="false" applyAlignment="false" applyProtection="false"/>
    <xf numFmtId="164" fontId="4" fillId="8" borderId="0" applyFont="true" applyBorder="false" applyAlignment="false" applyProtection="false"/>
  </cellStyleXfs>
  <cellXfs count="457">
    <xf numFmtId="164" fontId="0" fillId="0" borderId="0" xfId="0" applyFont="fals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4" fillId="9" borderId="0" xfId="0" applyFont="true" applyBorder="false" applyAlignment="true" applyProtection="false">
      <alignment horizontal="center" vertical="center" textRotation="0" wrapText="false" indent="0" shrinkToFit="false"/>
      <protection locked="true" hidden="false"/>
    </xf>
    <xf numFmtId="164" fontId="14" fillId="9" borderId="0" xfId="0" applyFont="true" applyBorder="false" applyAlignment="true" applyProtection="false">
      <alignment horizontal="center" vertical="bottom" textRotation="0" wrapText="false" indent="0" shrinkToFit="false"/>
      <protection locked="true" hidden="false"/>
    </xf>
    <xf numFmtId="164" fontId="14" fillId="9" borderId="0" xfId="0" applyFont="true" applyBorder="false" applyAlignment="false" applyProtection="false">
      <alignment horizontal="general" vertical="bottom" textRotation="0" wrapText="false" indent="0" shrinkToFit="false"/>
      <protection locked="true" hidden="false"/>
    </xf>
    <xf numFmtId="164" fontId="15" fillId="10" borderId="0" xfId="0" applyFont="true" applyBorder="false" applyAlignment="true" applyProtection="false">
      <alignment horizontal="center" vertical="center" textRotation="90" wrapText="false" indent="0" shrinkToFit="false"/>
      <protection locked="true" hidden="false"/>
    </xf>
    <xf numFmtId="164" fontId="13" fillId="1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8"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8"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6" fontId="0" fillId="8" borderId="0" xfId="0" applyFont="false" applyBorder="false" applyAlignment="false" applyProtection="false">
      <alignment horizontal="general" vertical="bottom" textRotation="0" wrapText="false" indent="0" shrinkToFit="false"/>
      <protection locked="true" hidden="false"/>
    </xf>
    <xf numFmtId="169" fontId="0" fillId="8" borderId="0" xfId="0" applyFont="false" applyBorder="false" applyAlignment="false" applyProtection="false">
      <alignment horizontal="general" vertical="bottom" textRotation="0" wrapText="false" indent="0" shrinkToFit="false"/>
      <protection locked="true" hidden="false"/>
    </xf>
    <xf numFmtId="164" fontId="15" fillId="11" borderId="0" xfId="0" applyFont="true" applyBorder="false" applyAlignment="true" applyProtection="false">
      <alignment horizontal="center" vertical="center" textRotation="90" wrapText="true" indent="0" shrinkToFit="false"/>
      <protection locked="true" hidden="false"/>
    </xf>
    <xf numFmtId="164" fontId="13" fillId="11" borderId="0" xfId="0" applyFont="true" applyBorder="false" applyAlignment="false" applyProtection="false">
      <alignment horizontal="general" vertical="bottom" textRotation="0" wrapText="false" indent="0" shrinkToFit="false"/>
      <protection locked="true" hidden="false"/>
    </xf>
    <xf numFmtId="168" fontId="0" fillId="8" borderId="0" xfId="0" applyFont="false" applyBorder="false" applyAlignment="false" applyProtection="false">
      <alignment horizontal="general" vertical="bottom" textRotation="0" wrapText="false" indent="0" shrinkToFit="false"/>
      <protection locked="true" hidden="false"/>
    </xf>
    <xf numFmtId="164" fontId="16" fillId="11" borderId="0" xfId="0" applyFont="true" applyBorder="false" applyAlignment="false" applyProtection="false">
      <alignment horizontal="general" vertical="bottom" textRotation="0" wrapText="false" indent="0" shrinkToFit="false"/>
      <protection locked="true" hidden="false"/>
    </xf>
    <xf numFmtId="169" fontId="15" fillId="8" borderId="0" xfId="0" applyFont="true" applyBorder="false" applyAlignment="false" applyProtection="false">
      <alignment horizontal="general" vertical="bottom" textRotation="0" wrapText="false" indent="0" shrinkToFit="false"/>
      <protection locked="true" hidden="false"/>
    </xf>
    <xf numFmtId="165" fontId="15" fillId="8" borderId="0" xfId="0" applyFont="true" applyBorder="false" applyAlignment="false" applyProtection="false">
      <alignment horizontal="general" vertical="bottom" textRotation="0" wrapText="false" indent="0" shrinkToFit="false"/>
      <protection locked="true" hidden="false"/>
    </xf>
    <xf numFmtId="164" fontId="0" fillId="12" borderId="0" xfId="0" applyFont="true" applyBorder="false" applyAlignment="true" applyProtection="false">
      <alignment horizontal="center" vertical="center" textRotation="90" wrapText="true" indent="0" shrinkToFit="false"/>
      <protection locked="true" hidden="false"/>
    </xf>
    <xf numFmtId="164" fontId="13" fillId="12" borderId="0" xfId="0" applyFont="tru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71" fontId="17" fillId="8" borderId="0" xfId="0" applyFont="true" applyBorder="false" applyAlignment="false" applyProtection="false">
      <alignment horizontal="general"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0" fontId="0" fillId="8" borderId="0" xfId="0" applyFont="false" applyBorder="false" applyAlignment="false" applyProtection="false">
      <alignment horizontal="general" vertical="bottom" textRotation="0" wrapText="false" indent="0" shrinkToFit="false"/>
      <protection locked="true" hidden="false"/>
    </xf>
    <xf numFmtId="171" fontId="0" fillId="8" borderId="0" xfId="0" applyFont="false" applyBorder="false" applyAlignment="false" applyProtection="false">
      <alignment horizontal="general" vertical="bottom" textRotation="0" wrapText="false" indent="0" shrinkToFit="false"/>
      <protection locked="true" hidden="false"/>
    </xf>
    <xf numFmtId="164" fontId="16" fillId="12" borderId="0" xfId="0" applyFont="true" applyBorder="false" applyAlignment="false" applyProtection="false">
      <alignment horizontal="general" vertical="bottom" textRotation="0" wrapText="false" indent="0" shrinkToFit="false"/>
      <protection locked="true" hidden="false"/>
    </xf>
    <xf numFmtId="172" fontId="0" fillId="8" borderId="0" xfId="0" applyFont="false" applyBorder="fals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true" applyProtection="false">
      <alignment horizontal="center" vertical="center" textRotation="90" wrapText="false" indent="0" shrinkToFit="false"/>
      <protection locked="true" hidden="false"/>
    </xf>
    <xf numFmtId="164" fontId="13" fillId="13" borderId="0" xfId="0" applyFont="true" applyBorder="false" applyAlignment="false" applyProtection="false">
      <alignment horizontal="general" vertical="bottom" textRotation="0" wrapText="false" indent="0" shrinkToFit="false"/>
      <protection locked="true" hidden="false"/>
    </xf>
    <xf numFmtId="168" fontId="0" fillId="8" borderId="0" xfId="0" applyFont="true" applyBorder="false" applyAlignment="false" applyProtection="false">
      <alignment horizontal="general"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65" fontId="0" fillId="8" borderId="0" xfId="0" applyFont="true" applyBorder="false" applyAlignment="false" applyProtection="false">
      <alignment horizontal="general" vertical="bottom" textRotation="0" wrapText="false" indent="0" shrinkToFit="false"/>
      <protection locked="true" hidden="false"/>
    </xf>
    <xf numFmtId="168" fontId="15" fillId="8" borderId="0" xfId="0" applyFont="true" applyBorder="false" applyAlignment="false" applyProtection="false">
      <alignment horizontal="general" vertical="bottom" textRotation="0" wrapText="false" indent="0" shrinkToFit="false"/>
      <protection locked="true" hidden="false"/>
    </xf>
    <xf numFmtId="173" fontId="15" fillId="8" borderId="0" xfId="0" applyFont="true" applyBorder="false" applyAlignment="false" applyProtection="false">
      <alignment horizontal="general" vertical="bottom" textRotation="0" wrapText="false" indent="0" shrinkToFit="false"/>
      <protection locked="true" hidden="false"/>
    </xf>
    <xf numFmtId="169" fontId="0" fillId="8" borderId="0" xfId="0" applyFont="true" applyBorder="false" applyAlignment="false" applyProtection="false">
      <alignment horizontal="general" vertical="bottom" textRotation="0" wrapText="false" indent="0" shrinkToFit="false"/>
      <protection locked="true" hidden="false"/>
    </xf>
    <xf numFmtId="164" fontId="15" fillId="14" borderId="0" xfId="0" applyFont="true" applyBorder="false" applyAlignment="true" applyProtection="false">
      <alignment horizontal="center" vertical="center" textRotation="90" wrapText="true" indent="0" shrinkToFit="false"/>
      <protection locked="true" hidden="false"/>
    </xf>
    <xf numFmtId="164" fontId="13" fillId="14" borderId="0" xfId="0" applyFont="true" applyBorder="false" applyAlignment="false" applyProtection="false">
      <alignment horizontal="general" vertical="bottom" textRotation="0" wrapText="fals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75" fontId="17" fillId="8" borderId="0" xfId="0" applyFont="true" applyBorder="false" applyAlignment="false" applyProtection="false">
      <alignment horizontal="general" vertical="bottom" textRotation="0" wrapText="false" indent="0" shrinkToFit="false"/>
      <protection locked="true" hidden="false"/>
    </xf>
    <xf numFmtId="176" fontId="17" fillId="8" borderId="0" xfId="0" applyFont="true" applyBorder="false" applyAlignment="false" applyProtection="false">
      <alignment horizontal="general" vertical="bottom" textRotation="0" wrapText="false" indent="0" shrinkToFit="false"/>
      <protection locked="true" hidden="false"/>
    </xf>
    <xf numFmtId="171" fontId="17" fillId="0" borderId="0" xfId="0" applyFont="true" applyBorder="false" applyAlignment="false" applyProtection="false">
      <alignment horizontal="general" vertical="bottom" textRotation="0" wrapText="false" indent="0" shrinkToFit="false"/>
      <protection locked="true" hidden="false"/>
    </xf>
    <xf numFmtId="172" fontId="17" fillId="0" borderId="0" xfId="0" applyFont="true" applyBorder="false" applyAlignment="false" applyProtection="false">
      <alignment horizontal="general" vertical="bottom" textRotation="0" wrapText="false" indent="0" shrinkToFit="false"/>
      <protection locked="true" hidden="false"/>
    </xf>
    <xf numFmtId="174" fontId="17" fillId="8" borderId="0" xfId="0" applyFont="true" applyBorder="false" applyAlignment="false" applyProtection="false">
      <alignment horizontal="general" vertical="bottom" textRotation="0" wrapText="false" indent="0" shrinkToFit="false"/>
      <protection locked="true" hidden="false"/>
    </xf>
    <xf numFmtId="164" fontId="16" fillId="14" borderId="0" xfId="0" applyFont="true" applyBorder="false" applyAlignment="false" applyProtection="false">
      <alignment horizontal="general" vertical="bottom" textRotation="0" wrapText="false" indent="0" shrinkToFit="false"/>
      <protection locked="true" hidden="false"/>
    </xf>
    <xf numFmtId="176" fontId="19" fillId="8" borderId="0" xfId="0" applyFont="true" applyBorder="false" applyAlignment="false" applyProtection="false">
      <alignment horizontal="general" vertical="bottom" textRotation="0" wrapText="false" indent="0" shrinkToFit="false"/>
      <protection locked="true" hidden="false"/>
    </xf>
    <xf numFmtId="164" fontId="15" fillId="15" borderId="0" xfId="0" applyFont="true" applyBorder="false" applyAlignment="true" applyProtection="false">
      <alignment horizontal="center" vertical="center" textRotation="90" wrapText="true" indent="0" shrinkToFit="false"/>
      <protection locked="true" hidden="false"/>
    </xf>
    <xf numFmtId="164" fontId="13" fillId="15" borderId="0" xfId="0" applyFont="true" applyBorder="false" applyAlignment="false" applyProtection="false">
      <alignment horizontal="general" vertical="bottom" textRotation="0" wrapText="false" indent="0" shrinkToFit="false"/>
      <protection locked="true" hidden="false"/>
    </xf>
    <xf numFmtId="164" fontId="16" fillId="15"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9" fillId="16" borderId="2" xfId="0" applyFont="true" applyBorder="true" applyAlignment="true" applyProtection="false">
      <alignment horizontal="center" vertical="bottom" textRotation="0" wrapText="false" indent="0" shrinkToFit="false"/>
      <protection locked="true" hidden="false"/>
    </xf>
    <xf numFmtId="177" fontId="19" fillId="16" borderId="3" xfId="0" applyFont="true" applyBorder="true" applyAlignment="true" applyProtection="false">
      <alignment horizontal="center" vertical="center" textRotation="0" wrapText="true" indent="0" shrinkToFit="false"/>
      <protection locked="true" hidden="false"/>
    </xf>
    <xf numFmtId="164" fontId="19" fillId="16" borderId="4" xfId="0" applyFont="true" applyBorder="true" applyAlignment="true" applyProtection="false">
      <alignment horizontal="center" vertical="center" textRotation="0" wrapText="false" indent="0" shrinkToFit="false"/>
      <protection locked="true" hidden="false"/>
    </xf>
    <xf numFmtId="164" fontId="19" fillId="16" borderId="4" xfId="0" applyFont="true" applyBorder="true" applyAlignment="true" applyProtection="false">
      <alignment horizontal="center" vertical="bottom" textRotation="0" wrapText="false" indent="0" shrinkToFit="false"/>
      <protection locked="true" hidden="false"/>
    </xf>
    <xf numFmtId="164" fontId="19" fillId="16" borderId="5" xfId="0" applyFont="true" applyBorder="true" applyAlignment="true" applyProtection="false">
      <alignment horizontal="center" vertical="center" textRotation="0" wrapText="false" indent="0" shrinkToFit="false"/>
      <protection locked="true" hidden="false"/>
    </xf>
    <xf numFmtId="164" fontId="17" fillId="17" borderId="6" xfId="0" applyFont="true" applyBorder="true" applyAlignment="true" applyProtection="false">
      <alignment horizontal="right" vertical="center" textRotation="0" wrapText="false" indent="0" shrinkToFit="false"/>
      <protection locked="true" hidden="false"/>
    </xf>
    <xf numFmtId="179" fontId="17" fillId="0" borderId="7" xfId="15" applyFont="true" applyBorder="true" applyAlignment="true" applyProtection="true">
      <alignment horizontal="right" vertical="center" textRotation="0" wrapText="false" indent="0" shrinkToFit="false"/>
      <protection locked="true" hidden="false"/>
    </xf>
    <xf numFmtId="179" fontId="0" fillId="0" borderId="0" xfId="0" applyFont="true" applyBorder="false" applyAlignment="false" applyProtection="false">
      <alignment horizontal="general" vertical="bottom" textRotation="0" wrapText="false" indent="0" shrinkToFit="false"/>
      <protection locked="true" hidden="false"/>
    </xf>
    <xf numFmtId="164" fontId="19" fillId="17" borderId="8" xfId="0" applyFont="true" applyBorder="true" applyAlignment="true" applyProtection="false">
      <alignment horizontal="right" vertical="center" textRotation="0" wrapText="false" indent="0" shrinkToFit="false"/>
      <protection locked="true" hidden="false"/>
    </xf>
    <xf numFmtId="173" fontId="0" fillId="17" borderId="9" xfId="0" applyFont="true" applyBorder="true" applyAlignment="true" applyProtection="false">
      <alignment horizontal="general" vertical="center" textRotation="0" wrapText="false" indent="0" shrinkToFit="false"/>
      <protection locked="true" hidden="false"/>
    </xf>
    <xf numFmtId="173" fontId="0" fillId="17" borderId="10" xfId="0" applyFont="true" applyBorder="true" applyAlignment="true" applyProtection="false">
      <alignment horizontal="center" vertical="center" textRotation="0" wrapText="false" indent="0" shrinkToFit="false"/>
      <protection locked="true" hidden="false"/>
    </xf>
    <xf numFmtId="164" fontId="17" fillId="17" borderId="11" xfId="0" applyFont="true" applyBorder="true" applyAlignment="true" applyProtection="false">
      <alignment horizontal="right" vertical="center" textRotation="0" wrapText="false" indent="0" shrinkToFit="false"/>
      <protection locked="true" hidden="false"/>
    </xf>
    <xf numFmtId="180" fontId="0" fillId="0" borderId="12" xfId="0" applyFont="true" applyBorder="true" applyAlignment="true" applyProtection="false">
      <alignment horizontal="general" vertical="center" textRotation="0" wrapText="false" indent="0" shrinkToFit="false"/>
      <protection locked="true" hidden="false"/>
    </xf>
    <xf numFmtId="181" fontId="17" fillId="0" borderId="12" xfId="0" applyFont="true" applyBorder="true" applyAlignment="true" applyProtection="false">
      <alignment horizontal="right" vertical="center" textRotation="0" wrapText="false" indent="0" shrinkToFit="false"/>
      <protection locked="true" hidden="false"/>
    </xf>
    <xf numFmtId="164" fontId="19" fillId="16" borderId="13" xfId="0" applyFont="true" applyBorder="true" applyAlignment="true" applyProtection="false">
      <alignment horizontal="center" vertical="center" textRotation="0" wrapText="false" indent="0" shrinkToFit="false"/>
      <protection locked="true" hidden="false"/>
    </xf>
    <xf numFmtId="164" fontId="19" fillId="16" borderId="0" xfId="0" applyFont="true" applyBorder="true" applyAlignment="true" applyProtection="false">
      <alignment horizontal="center" vertical="center" textRotation="0" wrapText="false" indent="0" shrinkToFit="false"/>
      <protection locked="true" hidden="false"/>
    </xf>
    <xf numFmtId="164" fontId="19" fillId="16" borderId="14" xfId="0" applyFont="true" applyBorder="true" applyAlignment="true" applyProtection="false">
      <alignment horizontal="center" vertical="center" textRotation="0" wrapText="false" indent="0" shrinkToFit="false"/>
      <protection locked="true" hidden="false"/>
    </xf>
    <xf numFmtId="182" fontId="0" fillId="17" borderId="7" xfId="0" applyFont="true" applyBorder="true" applyAlignment="true" applyProtection="false">
      <alignment horizontal="right" vertical="center" textRotation="0" wrapText="false" indent="0" shrinkToFit="false"/>
      <protection locked="true" hidden="false"/>
    </xf>
    <xf numFmtId="182" fontId="0" fillId="0" borderId="0" xfId="0" applyFont="true" applyBorder="false" applyAlignment="false" applyProtection="false">
      <alignment horizontal="general" vertical="bottom" textRotation="0" wrapText="false" indent="0" shrinkToFit="false"/>
      <protection locked="true" hidden="false"/>
    </xf>
    <xf numFmtId="177" fontId="19" fillId="17" borderId="8" xfId="0" applyFont="true" applyBorder="true" applyAlignment="true" applyProtection="false">
      <alignment horizontal="right" vertical="center" textRotation="0" wrapText="true" indent="0" shrinkToFit="false"/>
      <protection locked="true" hidden="false"/>
    </xf>
    <xf numFmtId="164" fontId="0" fillId="17" borderId="9" xfId="0" applyFont="true" applyBorder="true" applyAlignment="true" applyProtection="false">
      <alignment horizontal="center" vertical="center" textRotation="0" wrapText="false" indent="0" shrinkToFit="false"/>
      <protection locked="true" hidden="false"/>
    </xf>
    <xf numFmtId="164" fontId="0" fillId="17" borderId="10" xfId="0" applyFont="true" applyBorder="true" applyAlignment="true" applyProtection="false">
      <alignment horizontal="center" vertical="center" textRotation="0" wrapText="false" indent="0" shrinkToFit="false"/>
      <protection locked="true" hidden="false"/>
    </xf>
    <xf numFmtId="170" fontId="0" fillId="17" borderId="12" xfId="0" applyFont="true" applyBorder="true" applyAlignment="true" applyProtection="false">
      <alignment horizontal="general" vertical="center" textRotation="0" wrapText="false" indent="0" shrinkToFit="false"/>
      <protection locked="true" hidden="false"/>
    </xf>
    <xf numFmtId="183" fontId="0" fillId="17" borderId="12" xfId="0" applyFont="true" applyBorder="true" applyAlignment="true" applyProtection="false">
      <alignment horizontal="right"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7" fillId="0" borderId="14" xfId="0" applyFont="tru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79" fontId="17" fillId="17" borderId="7" xfId="15" applyFont="true" applyBorder="true" applyAlignment="true" applyProtection="true">
      <alignment horizontal="right" vertical="center" textRotation="0" wrapText="false" indent="0" shrinkToFit="false"/>
      <protection locked="true" hidden="false"/>
    </xf>
    <xf numFmtId="184" fontId="17" fillId="17" borderId="9" xfId="0" applyFont="true" applyBorder="true" applyAlignment="true" applyProtection="true">
      <alignment horizontal="general" vertical="center" textRotation="0" wrapText="false" indent="0" shrinkToFit="false"/>
      <protection locked="true" hidden="false"/>
    </xf>
    <xf numFmtId="184" fontId="17" fillId="17" borderId="10" xfId="0" applyFont="true" applyBorder="true" applyAlignment="true" applyProtection="true">
      <alignment horizontal="general" vertical="center" textRotation="0" wrapText="false" indent="0" shrinkToFit="false"/>
      <protection locked="true" hidden="false"/>
    </xf>
    <xf numFmtId="164" fontId="19" fillId="17" borderId="11" xfId="0" applyFont="true" applyBorder="true" applyAlignment="true" applyProtection="false">
      <alignment horizontal="right" vertical="center" textRotation="0" wrapText="false" indent="0" shrinkToFit="false"/>
      <protection locked="true" hidden="false"/>
    </xf>
    <xf numFmtId="180" fontId="19" fillId="17" borderId="12" xfId="0" applyFont="true" applyBorder="true" applyAlignment="true" applyProtection="false">
      <alignment horizontal="general" vertical="center" textRotation="0" wrapText="false" indent="0" shrinkToFit="false"/>
      <protection locked="true" hidden="false"/>
    </xf>
    <xf numFmtId="171" fontId="0" fillId="0" borderId="12" xfId="0" applyFont="true" applyBorder="true" applyAlignment="true" applyProtection="false">
      <alignment horizontal="right" vertical="center" textRotation="0" wrapText="false" indent="0" shrinkToFit="false"/>
      <protection locked="true" hidden="false"/>
    </xf>
    <xf numFmtId="164" fontId="17" fillId="0" borderId="13" xfId="0" applyFont="true" applyBorder="true" applyAlignment="true" applyProtection="false">
      <alignment horizontal="center" vertical="center" textRotation="0" wrapText="false" indent="0" shrinkToFit="false"/>
      <protection locked="true" hidden="false"/>
    </xf>
    <xf numFmtId="176" fontId="0" fillId="17" borderId="9" xfId="0" applyFont="true" applyBorder="true" applyAlignment="true" applyProtection="false">
      <alignment horizontal="general" vertical="center" textRotation="0" wrapText="false" indent="0" shrinkToFit="false"/>
      <protection locked="true" hidden="false"/>
    </xf>
    <xf numFmtId="176" fontId="0" fillId="17" borderId="10" xfId="0" applyFont="true" applyBorder="true" applyAlignment="true" applyProtection="false">
      <alignment horizontal="general" vertical="center" textRotation="0" wrapText="false" indent="0" shrinkToFit="false"/>
      <protection locked="true" hidden="false"/>
    </xf>
    <xf numFmtId="164" fontId="0" fillId="17" borderId="12" xfId="0" applyFont="true" applyBorder="true" applyAlignment="true" applyProtection="false">
      <alignment horizontal="general" vertical="center" textRotation="0" wrapText="false" indent="0" shrinkToFit="false"/>
      <protection locked="true" hidden="false"/>
    </xf>
    <xf numFmtId="164" fontId="17" fillId="17" borderId="15" xfId="0" applyFont="true" applyBorder="true" applyAlignment="true" applyProtection="false">
      <alignment horizontal="right" vertical="center" textRotation="0" wrapText="false" indent="0" shrinkToFit="false"/>
      <protection locked="true" hidden="false"/>
    </xf>
    <xf numFmtId="164" fontId="0" fillId="17" borderId="16" xfId="0" applyFont="true" applyBorder="true" applyAlignment="true" applyProtection="false">
      <alignment horizontal="right" vertical="center" textRotation="0" wrapText="false" indent="0" shrinkToFit="false"/>
      <protection locked="true" hidden="false"/>
    </xf>
    <xf numFmtId="181" fontId="0" fillId="17" borderId="7" xfId="0" applyFont="true" applyBorder="true" applyAlignment="true" applyProtection="false">
      <alignment horizontal="right" vertical="center" textRotation="0" wrapText="false" indent="0" shrinkToFit="false"/>
      <protection locked="true" hidden="false"/>
    </xf>
    <xf numFmtId="180" fontId="0" fillId="17" borderId="12"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right" vertical="bottom" textRotation="0" wrapText="false" indent="0" shrinkToFit="false"/>
      <protection locked="true" hidden="false"/>
    </xf>
    <xf numFmtId="177" fontId="17" fillId="0" borderId="7" xfId="0" applyFont="true" applyBorder="true" applyAlignment="true" applyProtection="false">
      <alignment horizontal="right" vertical="center" textRotation="0" wrapText="false" indent="0" shrinkToFit="false"/>
      <protection locked="true" hidden="false"/>
    </xf>
    <xf numFmtId="185" fontId="0" fillId="0" borderId="0" xfId="0" applyFont="true" applyBorder="false" applyAlignment="false" applyProtection="false">
      <alignment horizontal="general" vertical="bottom" textRotation="0" wrapText="false" indent="0" shrinkToFit="false"/>
      <protection locked="true" hidden="false"/>
    </xf>
    <xf numFmtId="177" fontId="19" fillId="17" borderId="17" xfId="0" applyFont="true" applyBorder="true" applyAlignment="true" applyProtection="false">
      <alignment horizontal="right" vertical="center" textRotation="0" wrapText="true" indent="0" shrinkToFit="false"/>
      <protection locked="true" hidden="false"/>
    </xf>
    <xf numFmtId="174" fontId="0" fillId="17" borderId="18" xfId="0" applyFont="true" applyBorder="true" applyAlignment="true" applyProtection="false">
      <alignment horizontal="general" vertical="center" textRotation="0" wrapText="false" indent="0" shrinkToFit="false"/>
      <protection locked="true" hidden="false"/>
    </xf>
    <xf numFmtId="174" fontId="0" fillId="17" borderId="19" xfId="0" applyFont="true" applyBorder="true" applyAlignment="true" applyProtection="false">
      <alignment horizontal="general" vertical="center" textRotation="0" wrapText="false" indent="0" shrinkToFit="false"/>
      <protection locked="true" hidden="false"/>
    </xf>
    <xf numFmtId="170" fontId="0" fillId="0" borderId="12" xfId="0" applyFont="true" applyBorder="true" applyAlignment="true" applyProtection="false">
      <alignment horizontal="general" vertical="center" textRotation="0" wrapText="false" indent="0" shrinkToFit="false"/>
      <protection locked="true" hidden="false"/>
    </xf>
    <xf numFmtId="170" fontId="0" fillId="17" borderId="0" xfId="0" applyFont="false" applyBorder="false" applyAlignment="false" applyProtection="false">
      <alignment horizontal="general" vertical="bottom" textRotation="0" wrapText="false" indent="0" shrinkToFit="false"/>
      <protection locked="true" hidden="false"/>
    </xf>
    <xf numFmtId="185" fontId="0" fillId="0" borderId="12" xfId="0" applyFont="true" applyBorder="true" applyAlignment="true" applyProtection="false">
      <alignment horizontal="general" vertical="center" textRotation="0" wrapText="false" indent="0" shrinkToFit="false"/>
      <protection locked="true" hidden="false"/>
    </xf>
    <xf numFmtId="186" fontId="0" fillId="17" borderId="12" xfId="0" applyFont="true" applyBorder="true" applyAlignment="true" applyProtection="false">
      <alignment horizontal="general" vertical="center" textRotation="0" wrapText="false" indent="0" shrinkToFit="false"/>
      <protection locked="true" hidden="false"/>
    </xf>
    <xf numFmtId="164" fontId="19" fillId="16"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81" fontId="0" fillId="0" borderId="10" xfId="0" applyFont="true" applyBorder="true" applyAlignment="false" applyProtection="false">
      <alignment horizontal="general" vertical="bottom" textRotation="0" wrapText="false" indent="0" shrinkToFit="false"/>
      <protection locked="true" hidden="false"/>
    </xf>
    <xf numFmtId="169" fontId="19" fillId="17" borderId="12" xfId="0" applyFont="true" applyBorder="true" applyAlignment="true" applyProtection="false">
      <alignment horizontal="general" vertical="center" textRotation="0" wrapText="false" indent="0" shrinkToFit="false"/>
      <protection locked="true" hidden="false"/>
    </xf>
    <xf numFmtId="170" fontId="0" fillId="0" borderId="10" xfId="0" applyFont="true" applyBorder="true" applyAlignment="false" applyProtection="false">
      <alignment horizontal="general" vertical="bottom" textRotation="0" wrapText="false" indent="0" shrinkToFit="false"/>
      <protection locked="true" hidden="false"/>
    </xf>
    <xf numFmtId="170" fontId="0" fillId="0" borderId="7" xfId="0" applyFont="true" applyBorder="true" applyAlignment="true" applyProtection="false">
      <alignment horizontal="right" vertical="center" textRotation="0" wrapText="false" indent="0" shrinkToFit="false"/>
      <protection locked="true" hidden="false"/>
    </xf>
    <xf numFmtId="183" fontId="0" fillId="0" borderId="0" xfId="0" applyFont="true" applyBorder="false" applyAlignment="false" applyProtection="false">
      <alignment horizontal="general" vertical="bottom" textRotation="0" wrapText="false" indent="0" shrinkToFit="false"/>
      <protection locked="true" hidden="false"/>
    </xf>
    <xf numFmtId="164" fontId="0" fillId="17" borderId="19" xfId="0" applyFont="true" applyBorder="true" applyAlignment="true" applyProtection="false">
      <alignment horizontal="right" vertical="center" textRotation="0" wrapText="false" indent="0" shrinkToFit="false"/>
      <protection locked="true" hidden="false"/>
    </xf>
    <xf numFmtId="164" fontId="19" fillId="17" borderId="15" xfId="0" applyFont="true" applyBorder="true" applyAlignment="true" applyProtection="false">
      <alignment horizontal="right" vertical="center" textRotation="0" wrapText="false" indent="0" shrinkToFit="false"/>
      <protection locked="true" hidden="false"/>
    </xf>
    <xf numFmtId="180" fontId="19" fillId="17" borderId="16" xfId="0" applyFont="true" applyBorder="true" applyAlignment="true" applyProtection="false">
      <alignment horizontal="general" vertical="center" textRotation="0" wrapText="false" indent="0" shrinkToFit="false"/>
      <protection locked="true" hidden="false"/>
    </xf>
    <xf numFmtId="164" fontId="19" fillId="17" borderId="17" xfId="0" applyFont="true" applyBorder="true" applyAlignment="true" applyProtection="false">
      <alignment horizontal="right" vertical="center" textRotation="0" wrapText="false" indent="0" shrinkToFit="false"/>
      <protection locked="true" hidden="false"/>
    </xf>
    <xf numFmtId="181" fontId="0" fillId="17" borderId="19" xfId="0" applyFont="true" applyBorder="true" applyAlignment="false" applyProtection="false">
      <alignment horizontal="general" vertical="bottom" textRotation="0" wrapText="false" indent="0" shrinkToFit="false"/>
      <protection locked="true" hidden="false"/>
    </xf>
    <xf numFmtId="182" fontId="19" fillId="17" borderId="7" xfId="0" applyFont="true" applyBorder="true" applyAlignment="true" applyProtection="false">
      <alignment horizontal="right" vertical="center" textRotation="0" wrapText="false" indent="0" shrinkToFit="false"/>
      <protection locked="true" hidden="false"/>
    </xf>
    <xf numFmtId="173" fontId="19" fillId="17" borderId="7" xfId="15" applyFont="true" applyBorder="true" applyAlignment="true" applyProtection="true">
      <alignment horizontal="right" vertical="center" textRotation="0" wrapText="false" indent="0" shrinkToFit="false"/>
      <protection locked="true" hidden="false"/>
    </xf>
    <xf numFmtId="185" fontId="0" fillId="17" borderId="18" xfId="0" applyFont="true" applyBorder="true" applyAlignment="true" applyProtection="false">
      <alignment horizontal="general" vertical="center" textRotation="0" wrapText="false" indent="0" shrinkToFit="false"/>
      <protection locked="true" hidden="false"/>
    </xf>
    <xf numFmtId="185" fontId="0" fillId="17" borderId="19" xfId="0" applyFont="true" applyBorder="true" applyAlignment="true" applyProtection="false">
      <alignment horizontal="general" vertical="center" textRotation="0" wrapText="false" indent="0" shrinkToFit="false"/>
      <protection locked="true" hidden="false"/>
    </xf>
    <xf numFmtId="188" fontId="19" fillId="17" borderId="7" xfId="19" applyFont="true" applyBorder="true" applyAlignment="true" applyProtection="true">
      <alignment horizontal="right" vertical="center"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89" fontId="0" fillId="0" borderId="0" xfId="0" applyFont="true" applyBorder="false" applyAlignment="false" applyProtection="false">
      <alignment horizontal="general" vertical="bottom" textRotation="0" wrapText="false" indent="0" shrinkToFit="false"/>
      <protection locked="true" hidden="false"/>
    </xf>
    <xf numFmtId="188" fontId="0" fillId="0" borderId="7" xfId="0" applyFont="true" applyBorder="true" applyAlignment="true" applyProtection="false">
      <alignment horizontal="right" vertical="center" textRotation="0" wrapText="false" indent="0" shrinkToFit="false"/>
      <protection locked="true" hidden="false"/>
    </xf>
    <xf numFmtId="164" fontId="21" fillId="17" borderId="11" xfId="0" applyFont="true" applyBorder="true" applyAlignment="true" applyProtection="false">
      <alignment horizontal="right" vertical="center" textRotation="0" wrapText="false" indent="0" shrinkToFit="false"/>
      <protection locked="true" hidden="false"/>
    </xf>
    <xf numFmtId="185" fontId="0" fillId="0" borderId="12" xfId="0" applyFont="true" applyBorder="true" applyAlignment="false" applyProtection="false">
      <alignment horizontal="general" vertical="bottom" textRotation="0" wrapText="false" indent="0" shrinkToFit="false"/>
      <protection locked="true" hidden="false"/>
    </xf>
    <xf numFmtId="164" fontId="17" fillId="0" borderId="14" xfId="0" applyFont="true" applyBorder="true" applyAlignment="false" applyProtection="false">
      <alignment horizontal="general" vertical="bottom" textRotation="0" wrapText="false" indent="0" shrinkToFit="false"/>
      <protection locked="true" hidden="false"/>
    </xf>
    <xf numFmtId="185" fontId="0" fillId="17" borderId="7" xfId="0" applyFont="true" applyBorder="true" applyAlignment="true" applyProtection="false">
      <alignment horizontal="right" vertical="center" textRotation="0" wrapText="false" indent="0" shrinkToFit="false"/>
      <protection locked="true" hidden="false"/>
    </xf>
    <xf numFmtId="185" fontId="0" fillId="17" borderId="12" xfId="0" applyFont="true" applyBorder="true" applyAlignment="false" applyProtection="false">
      <alignment horizontal="general" vertical="bottom" textRotation="0" wrapText="false" indent="0" shrinkToFit="false"/>
      <protection locked="true" hidden="false"/>
    </xf>
    <xf numFmtId="190" fontId="17" fillId="0" borderId="7" xfId="15" applyFont="true" applyBorder="true" applyAlignment="true" applyProtection="true">
      <alignment horizontal="right" vertical="center" textRotation="0" wrapText="false" indent="0" shrinkToFit="false"/>
      <protection locked="true" hidden="false"/>
    </xf>
    <xf numFmtId="164" fontId="21" fillId="17" borderId="15" xfId="0" applyFont="true" applyBorder="true" applyAlignment="true" applyProtection="false">
      <alignment horizontal="right" vertical="center" textRotation="0" wrapText="false" indent="0" shrinkToFit="false"/>
      <protection locked="true" hidden="false"/>
    </xf>
    <xf numFmtId="185" fontId="19" fillId="17" borderId="16" xfId="0" applyFont="true" applyBorder="true" applyAlignment="false" applyProtection="false">
      <alignment horizontal="general" vertical="bottom" textRotation="0" wrapText="false" indent="0" shrinkToFit="false"/>
      <protection locked="true" hidden="false"/>
    </xf>
    <xf numFmtId="164" fontId="17" fillId="17" borderId="20" xfId="0" applyFont="true" applyBorder="true" applyAlignment="true" applyProtection="false">
      <alignment horizontal="right" vertical="center" textRotation="0" wrapText="false" indent="0" shrinkToFit="false"/>
      <protection locked="true" hidden="false"/>
    </xf>
    <xf numFmtId="189" fontId="0" fillId="17" borderId="21" xfId="0" applyFont="true" applyBorder="true" applyAlignment="true" applyProtection="false">
      <alignment horizontal="right"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17" fillId="0" borderId="23" xfId="0" applyFont="true" applyBorder="true" applyAlignment="true" applyProtection="false">
      <alignment horizontal="center" vertical="center" textRotation="0" wrapText="false" indent="0" shrinkToFit="false"/>
      <protection locked="true" hidden="false"/>
    </xf>
    <xf numFmtId="164" fontId="17" fillId="0" borderId="24"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76" fontId="0" fillId="0" borderId="9" xfId="0" applyFont="true" applyBorder="true" applyAlignment="true" applyProtection="false">
      <alignment horizontal="general" vertical="center" textRotation="0" wrapText="false" indent="0" shrinkToFit="false"/>
      <protection locked="true" hidden="false"/>
    </xf>
    <xf numFmtId="176" fontId="0" fillId="0" borderId="10" xfId="0" applyFont="true" applyBorder="true" applyAlignment="true" applyProtection="false">
      <alignment horizontal="general" vertical="center" textRotation="0" wrapText="false" indent="0" shrinkToFit="false"/>
      <protection locked="true" hidden="false"/>
    </xf>
    <xf numFmtId="164" fontId="17" fillId="17" borderId="25" xfId="0" applyFont="true" applyBorder="true" applyAlignment="true" applyProtection="false">
      <alignment horizontal="right" vertical="center" textRotation="0" wrapText="false" indent="0" shrinkToFit="false"/>
      <protection locked="true" hidden="false"/>
    </xf>
    <xf numFmtId="174" fontId="17" fillId="0" borderId="26" xfId="0" applyFont="true" applyBorder="true" applyAlignment="true" applyProtection="true">
      <alignment horizontal="left" vertical="center" textRotation="0" wrapText="false" indent="0" shrinkToFit="false"/>
      <protection locked="true" hidden="false"/>
    </xf>
    <xf numFmtId="182" fontId="0" fillId="17" borderId="26" xfId="0" applyFont="true" applyBorder="true" applyAlignment="true" applyProtection="false">
      <alignment horizontal="left" vertical="center" textRotation="0" wrapText="false" indent="0" shrinkToFit="false"/>
      <protection locked="true" hidden="false"/>
    </xf>
    <xf numFmtId="179" fontId="17" fillId="17" borderId="26"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91" fontId="0" fillId="17" borderId="18" xfId="0" applyFont="true" applyBorder="true" applyAlignment="false" applyProtection="false">
      <alignment horizontal="general" vertical="bottom" textRotation="0" wrapText="false" indent="0" shrinkToFit="false"/>
      <protection locked="true" hidden="false"/>
    </xf>
    <xf numFmtId="191" fontId="0" fillId="17" borderId="19" xfId="0" applyFont="true" applyBorder="true" applyAlignment="false" applyProtection="false">
      <alignment horizontal="general" vertical="bottom" textRotation="0" wrapText="false" indent="0" shrinkToFit="false"/>
      <protection locked="true" hidden="false"/>
    </xf>
    <xf numFmtId="181" fontId="0" fillId="17" borderId="26" xfId="0" applyFont="true" applyBorder="true" applyAlignment="true" applyProtection="false">
      <alignment horizontal="left" vertical="center" textRotation="0" wrapText="false" indent="0" shrinkToFit="false"/>
      <protection locked="true" hidden="false"/>
    </xf>
    <xf numFmtId="177" fontId="17" fillId="0" borderId="26"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70" fontId="0" fillId="0" borderId="26" xfId="0" applyFont="true" applyBorder="true" applyAlignment="true" applyProtection="false">
      <alignment horizontal="left" vertical="center" textRotation="0" wrapText="false" indent="0" shrinkToFit="false"/>
      <protection locked="true" hidden="false"/>
    </xf>
    <xf numFmtId="182" fontId="19" fillId="17" borderId="26" xfId="0" applyFont="true" applyBorder="true" applyAlignment="true" applyProtection="false">
      <alignment horizontal="left" vertical="center" textRotation="0" wrapText="false" indent="0" shrinkToFit="false"/>
      <protection locked="true" hidden="false"/>
    </xf>
    <xf numFmtId="174" fontId="19" fillId="17" borderId="26" xfId="0" applyFont="true" applyBorder="true" applyAlignment="true" applyProtection="true">
      <alignment horizontal="left" vertical="center" textRotation="0" wrapText="false" indent="0" shrinkToFit="false"/>
      <protection locked="true" hidden="false"/>
    </xf>
    <xf numFmtId="185" fontId="0" fillId="17" borderId="26" xfId="0" applyFont="true" applyBorder="true" applyAlignment="true" applyProtection="false">
      <alignment horizontal="left" vertical="center" textRotation="0" wrapText="false" indent="0" shrinkToFit="false"/>
      <protection locked="true" hidden="false"/>
    </xf>
    <xf numFmtId="170" fontId="0" fillId="17" borderId="26" xfId="0" applyFont="true" applyBorder="true" applyAlignment="true" applyProtection="false">
      <alignment horizontal="left" vertical="center" textRotation="0" wrapText="false" indent="0" shrinkToFit="false"/>
      <protection locked="true" hidden="false"/>
    </xf>
    <xf numFmtId="180" fontId="19" fillId="17" borderId="26" xfId="0" applyFont="true" applyBorder="true" applyAlignment="true" applyProtection="false">
      <alignment horizontal="left" vertical="center" textRotation="0" wrapText="false" indent="0" shrinkToFit="false"/>
      <protection locked="true" hidden="false"/>
    </xf>
    <xf numFmtId="164" fontId="17" fillId="17" borderId="27" xfId="0" applyFont="true" applyBorder="true" applyAlignment="true" applyProtection="false">
      <alignment horizontal="right" vertical="center" textRotation="0" wrapText="false" indent="0" shrinkToFit="false"/>
      <protection locked="true" hidden="false"/>
    </xf>
    <xf numFmtId="172" fontId="19" fillId="17" borderId="28" xfId="0" applyFont="true" applyBorder="true" applyAlignment="true" applyProtection="false">
      <alignment horizontal="left" vertical="center" textRotation="0" wrapText="false" indent="0" shrinkToFit="false"/>
      <protection locked="true" hidden="false"/>
    </xf>
    <xf numFmtId="185" fontId="0" fillId="0" borderId="0" xfId="0" applyFont="false" applyBorder="false" applyAlignment="false" applyProtection="false">
      <alignment horizontal="general" vertical="bottom" textRotation="0" wrapText="false" indent="0" shrinkToFit="false"/>
      <protection locked="true" hidden="false"/>
    </xf>
    <xf numFmtId="164" fontId="23" fillId="16" borderId="2" xfId="0" applyFont="true" applyBorder="true" applyAlignment="true" applyProtection="false">
      <alignment horizontal="center" vertical="center" textRotation="0" wrapText="false" indent="0" shrinkToFit="false"/>
      <protection locked="true" hidden="false"/>
    </xf>
    <xf numFmtId="164" fontId="17" fillId="0" borderId="29" xfId="0" applyFont="true" applyBorder="true" applyAlignment="false" applyProtection="false">
      <alignment horizontal="general" vertical="bottom" textRotation="0" wrapText="false" indent="0" shrinkToFit="false"/>
      <protection locked="true" hidden="false"/>
    </xf>
    <xf numFmtId="170" fontId="0" fillId="0" borderId="30" xfId="0" applyFont="false" applyBorder="true" applyAlignment="true" applyProtection="false">
      <alignment horizontal="right" vertical="center" textRotation="0" wrapText="false" indent="0" shrinkToFit="false"/>
      <protection locked="true" hidden="false"/>
    </xf>
    <xf numFmtId="164" fontId="23" fillId="16" borderId="6" xfId="0" applyFont="true" applyBorder="true" applyAlignment="true" applyProtection="false">
      <alignment horizontal="center" vertical="center" textRotation="0" wrapText="false" indent="0" shrinkToFit="false"/>
      <protection locked="true" hidden="false"/>
    </xf>
    <xf numFmtId="185" fontId="23" fillId="16" borderId="0" xfId="0" applyFont="true" applyBorder="true" applyAlignment="true" applyProtection="false">
      <alignment horizontal="center" vertical="center" textRotation="0" wrapText="false" indent="0" shrinkToFit="false"/>
      <protection locked="true" hidden="false"/>
    </xf>
    <xf numFmtId="164" fontId="23" fillId="16" borderId="7" xfId="0" applyFont="true" applyBorder="true" applyAlignment="true" applyProtection="false">
      <alignment horizontal="center" vertical="center" textRotation="0" wrapText="false" indent="0" shrinkToFit="false"/>
      <protection locked="true" hidden="false"/>
    </xf>
    <xf numFmtId="164" fontId="17" fillId="0" borderId="6" xfId="0" applyFont="true" applyBorder="true" applyAlignment="false" applyProtection="false">
      <alignment horizontal="general" vertical="bottom" textRotation="0" wrapText="false" indent="0" shrinkToFit="false"/>
      <protection locked="true" hidden="false"/>
    </xf>
    <xf numFmtId="170" fontId="0" fillId="0" borderId="7" xfId="0" applyFont="false" applyBorder="true" applyAlignment="true" applyProtection="false">
      <alignment horizontal="right" vertical="center" textRotation="0" wrapText="false" indent="0" shrinkToFit="false"/>
      <protection locked="true" hidden="false"/>
    </xf>
    <xf numFmtId="185" fontId="0" fillId="8"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21" fillId="0" borderId="6" xfId="0" applyFont="true" applyBorder="true" applyAlignment="false" applyProtection="false">
      <alignment horizontal="general" vertical="bottom" textRotation="0" wrapText="false" indent="0" shrinkToFit="false"/>
      <protection locked="true" hidden="false"/>
    </xf>
    <xf numFmtId="171" fontId="0" fillId="8" borderId="7" xfId="0" applyFont="false" applyBorder="true" applyAlignment="true" applyProtection="false">
      <alignment horizontal="right" vertical="center" textRotation="0" wrapText="false" indent="0" shrinkToFit="false"/>
      <protection locked="true" hidden="false"/>
    </xf>
    <xf numFmtId="171" fontId="0" fillId="17" borderId="7" xfId="0" applyFont="false" applyBorder="true" applyAlignment="true" applyProtection="false">
      <alignment horizontal="right" vertical="center" textRotation="0" wrapText="false" indent="0" shrinkToFit="false"/>
      <protection locked="true" hidden="false"/>
    </xf>
    <xf numFmtId="185" fontId="0" fillId="17" borderId="0" xfId="0" applyFont="false" applyBorder="true" applyAlignment="false" applyProtection="false">
      <alignment horizontal="general" vertical="bottom" textRotation="0" wrapText="false" indent="0" shrinkToFit="false"/>
      <protection locked="true" hidden="false"/>
    </xf>
    <xf numFmtId="171" fontId="0" fillId="0" borderId="7" xfId="0" applyFont="false" applyBorder="true" applyAlignment="true" applyProtection="false">
      <alignment horizontal="right" vertical="center" textRotation="0" wrapText="false" indent="0" shrinkToFit="false"/>
      <protection locked="true" hidden="false"/>
    </xf>
    <xf numFmtId="171" fontId="25" fillId="17" borderId="7" xfId="0" applyFont="true" applyBorder="true" applyAlignment="true" applyProtection="false">
      <alignment horizontal="right" vertical="center" textRotation="0" wrapText="false" indent="0" shrinkToFit="false"/>
      <protection locked="true" hidden="false"/>
    </xf>
    <xf numFmtId="164" fontId="17" fillId="18" borderId="6" xfId="0" applyFont="true" applyBorder="true" applyAlignment="false" applyProtection="false">
      <alignment horizontal="general" vertical="bottom" textRotation="0" wrapText="false" indent="0" shrinkToFit="false"/>
      <protection locked="true" hidden="false"/>
    </xf>
    <xf numFmtId="171" fontId="0" fillId="18" borderId="0" xfId="0" applyFont="false" applyBorder="true" applyAlignment="false" applyProtection="false">
      <alignment horizontal="general" vertical="bottom" textRotation="0" wrapText="false" indent="0" shrinkToFit="false"/>
      <protection locked="true" hidden="false"/>
    </xf>
    <xf numFmtId="171" fontId="0" fillId="18" borderId="7" xfId="0" applyFont="false" applyBorder="true" applyAlignment="true" applyProtection="false">
      <alignment horizontal="right" vertical="center" textRotation="0" wrapText="false" indent="0" shrinkToFit="false"/>
      <protection locked="true" hidden="false"/>
    </xf>
    <xf numFmtId="169" fontId="0" fillId="8" borderId="0" xfId="0" applyFont="false" applyBorder="true" applyAlignment="false" applyProtection="false">
      <alignment horizontal="general" vertical="bottom" textRotation="0" wrapText="false" indent="0" shrinkToFit="false"/>
      <protection locked="true" hidden="false"/>
    </xf>
    <xf numFmtId="178" fontId="17" fillId="8" borderId="0" xfId="15" applyFont="true" applyBorder="true" applyAlignment="true" applyProtection="true">
      <alignment horizontal="general" vertical="bottom" textRotation="0" wrapText="false" indent="0" shrinkToFit="false"/>
      <protection locked="true" hidden="false"/>
    </xf>
    <xf numFmtId="172" fontId="0" fillId="18" borderId="0" xfId="0" applyFont="false" applyBorder="true" applyAlignment="false" applyProtection="false">
      <alignment horizontal="general" vertical="bottom" textRotation="0" wrapText="false" indent="0" shrinkToFit="false"/>
      <protection locked="true" hidden="false"/>
    </xf>
    <xf numFmtId="169" fontId="0" fillId="17" borderId="0" xfId="0" applyFont="false" applyBorder="true" applyAlignment="false" applyProtection="false">
      <alignment horizontal="general" vertical="bottom" textRotation="0" wrapText="false" indent="0" shrinkToFit="false"/>
      <protection locked="true" hidden="false"/>
    </xf>
    <xf numFmtId="170" fontId="0" fillId="0" borderId="12" xfId="0" applyFont="false" applyBorder="true" applyAlignment="true" applyProtection="false">
      <alignment horizontal="right" vertical="center" textRotation="0" wrapText="false" indent="0" shrinkToFit="false"/>
      <protection locked="true" hidden="false"/>
    </xf>
    <xf numFmtId="164" fontId="0" fillId="17" borderId="7" xfId="0" applyFont="false" applyBorder="true" applyAlignment="true" applyProtection="false">
      <alignment horizontal="right" vertical="center" textRotation="0" wrapText="false" indent="0" shrinkToFit="false"/>
      <protection locked="true" hidden="false"/>
    </xf>
    <xf numFmtId="171" fontId="0" fillId="17" borderId="0" xfId="0" applyFont="false" applyBorder="true" applyAlignment="false" applyProtection="false">
      <alignment horizontal="general" vertical="bottom" textRotation="0" wrapText="false" indent="0" shrinkToFit="false"/>
      <protection locked="true" hidden="false"/>
    </xf>
    <xf numFmtId="169" fontId="0" fillId="8" borderId="7" xfId="0" applyFont="false" applyBorder="true" applyAlignment="true" applyProtection="false">
      <alignment horizontal="right" vertical="center" textRotation="0" wrapText="false" indent="0" shrinkToFit="false"/>
      <protection locked="true" hidden="false"/>
    </xf>
    <xf numFmtId="189" fontId="0" fillId="17" borderId="7" xfId="0" applyFont="false" applyBorder="true" applyAlignment="true" applyProtection="false">
      <alignment horizontal="right" vertical="center" textRotation="0" wrapText="false" indent="0" shrinkToFit="false"/>
      <protection locked="true" hidden="false"/>
    </xf>
    <xf numFmtId="164" fontId="19" fillId="18" borderId="6" xfId="0" applyFont="true" applyBorder="true" applyAlignment="false" applyProtection="false">
      <alignment horizontal="general" vertical="bottom" textRotation="0" wrapText="false" indent="0" shrinkToFit="false"/>
      <protection locked="true" hidden="false"/>
    </xf>
    <xf numFmtId="171" fontId="23" fillId="18" borderId="0" xfId="0" applyFont="true" applyBorder="true" applyAlignment="false" applyProtection="false">
      <alignment horizontal="general" vertical="bottom" textRotation="0" wrapText="false" indent="0" shrinkToFit="false"/>
      <protection locked="true" hidden="false"/>
    </xf>
    <xf numFmtId="164" fontId="17" fillId="0" borderId="7" xfId="0" applyFont="true" applyBorder="true" applyAlignment="false" applyProtection="false">
      <alignment horizontal="general" vertical="bottom" textRotation="0" wrapText="false" indent="0" shrinkToFit="false"/>
      <protection locked="true" hidden="false"/>
    </xf>
    <xf numFmtId="169" fontId="0" fillId="17" borderId="7" xfId="0" applyFont="false" applyBorder="true" applyAlignment="true" applyProtection="false">
      <alignment horizontal="right" vertical="center" textRotation="0" wrapText="false" indent="0" shrinkToFit="false"/>
      <protection locked="true" hidden="false"/>
    </xf>
    <xf numFmtId="171" fontId="0" fillId="0" borderId="0" xfId="0" applyFont="false" applyBorder="true" applyAlignment="false" applyProtection="false">
      <alignment horizontal="general" vertical="bottom" textRotation="0" wrapText="false" indent="0" shrinkToFit="false"/>
      <protection locked="true" hidden="false"/>
    </xf>
    <xf numFmtId="164" fontId="17" fillId="0" borderId="20" xfId="0" applyFont="true" applyBorder="true" applyAlignment="false" applyProtection="false">
      <alignment horizontal="general" vertical="bottom" textRotation="0" wrapText="false" indent="0" shrinkToFit="false"/>
      <protection locked="true" hidden="false"/>
    </xf>
    <xf numFmtId="171" fontId="0" fillId="17" borderId="21" xfId="0" applyFont="false" applyBorder="true" applyAlignment="true" applyProtection="false">
      <alignment horizontal="right" vertical="center" textRotation="0" wrapText="false" indent="0" shrinkToFit="false"/>
      <protection locked="true" hidden="false"/>
    </xf>
    <xf numFmtId="185" fontId="0" fillId="18" borderId="0" xfId="0" applyFont="true" applyBorder="false" applyAlignment="false" applyProtection="false">
      <alignment horizontal="general" vertical="bottom" textRotation="0" wrapText="false" indent="0" shrinkToFit="false"/>
      <protection locked="true" hidden="false"/>
    </xf>
    <xf numFmtId="185" fontId="15" fillId="18" borderId="0" xfId="0" applyFont="true" applyBorder="false" applyAlignment="false" applyProtection="false">
      <alignment horizontal="general" vertical="bottom"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0" fillId="0" borderId="31" xfId="0" applyFont="false" applyBorder="true" applyAlignment="false" applyProtection="false">
      <alignment horizontal="general" vertical="bottom" textRotation="0" wrapText="false" indent="0" shrinkToFit="false"/>
      <protection locked="true" hidden="false"/>
    </xf>
    <xf numFmtId="164" fontId="0" fillId="0" borderId="21" xfId="0" applyFont="true" applyBorder="true" applyAlignment="true" applyProtection="false">
      <alignment horizontal="general" vertical="bottom" textRotation="0" wrapText="true" indent="0" shrinkToFit="false"/>
      <protection locked="true" hidden="false"/>
    </xf>
    <xf numFmtId="164" fontId="15" fillId="9" borderId="2"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89" fontId="0" fillId="0" borderId="7" xfId="0" applyFont="false" applyBorder="true" applyAlignment="false" applyProtection="false">
      <alignment horizontal="general" vertical="bottom" textRotation="0" wrapText="false" indent="0" shrinkToFit="false"/>
      <protection locked="true" hidden="false"/>
    </xf>
    <xf numFmtId="192" fontId="0" fillId="8" borderId="7" xfId="0" applyFont="false" applyBorder="true" applyAlignment="false" applyProtection="false">
      <alignment horizontal="general" vertical="bottom" textRotation="0" wrapText="false" indent="0" shrinkToFit="false"/>
      <protection locked="true" hidden="false"/>
    </xf>
    <xf numFmtId="192" fontId="0" fillId="0" borderId="7" xfId="0" applyFont="false" applyBorder="true" applyAlignment="false" applyProtection="false">
      <alignment horizontal="general" vertical="bottom" textRotation="0" wrapText="false" indent="0" shrinkToFit="false"/>
      <protection locked="true" hidden="false"/>
    </xf>
    <xf numFmtId="189" fontId="0" fillId="8" borderId="7" xfId="0" applyFont="false" applyBorder="true" applyAlignment="false" applyProtection="false">
      <alignment horizontal="general" vertical="bottom" textRotation="0" wrapText="false" indent="0" shrinkToFit="false"/>
      <protection locked="true" hidden="false"/>
    </xf>
    <xf numFmtId="171" fontId="0" fillId="0" borderId="7" xfId="0" applyFont="false" applyBorder="true" applyAlignment="false" applyProtection="false">
      <alignment horizontal="general" vertical="bottom" textRotation="0" wrapText="false" indent="0" shrinkToFit="false"/>
      <protection locked="true" hidden="false"/>
    </xf>
    <xf numFmtId="169" fontId="0" fillId="8" borderId="7" xfId="0" applyFont="false" applyBorder="true" applyAlignment="false" applyProtection="false">
      <alignment horizontal="general" vertical="bottom" textRotation="0" wrapText="false" indent="0" shrinkToFit="false"/>
      <protection locked="true" hidden="false"/>
    </xf>
    <xf numFmtId="192" fontId="0" fillId="0" borderId="7" xfId="0" applyFont="false" applyBorder="true" applyAlignment="false" applyProtection="false">
      <alignment horizontal="general" vertical="bottom" textRotation="0" wrapText="false" indent="0" shrinkToFit="false"/>
      <protection locked="true" hidden="false"/>
    </xf>
    <xf numFmtId="192" fontId="0" fillId="8" borderId="21" xfId="0" applyFont="false" applyBorder="true" applyAlignment="false" applyProtection="false">
      <alignment horizontal="general" vertical="bottom" textRotation="0" wrapText="false" indent="0" shrinkToFit="false"/>
      <protection locked="true" hidden="false"/>
    </xf>
    <xf numFmtId="164" fontId="0" fillId="16" borderId="32" xfId="0" applyFont="true" applyBorder="true" applyAlignment="false" applyProtection="false">
      <alignment horizontal="general" vertical="bottom" textRotation="0" wrapText="false" indent="0" shrinkToFit="false"/>
      <protection locked="true" hidden="false"/>
    </xf>
    <xf numFmtId="164" fontId="19" fillId="16" borderId="33" xfId="0" applyFont="true" applyBorder="true" applyAlignment="true" applyProtection="false">
      <alignment horizontal="center" vertical="bottom" textRotation="0" wrapText="false" indent="0" shrinkToFit="false"/>
      <protection locked="true" hidden="false"/>
    </xf>
    <xf numFmtId="164" fontId="19" fillId="16" borderId="34" xfId="0" applyFont="true" applyBorder="true" applyAlignment="true" applyProtection="false">
      <alignment horizontal="center" vertical="center" textRotation="0" wrapText="false" indent="0" shrinkToFit="false"/>
      <protection locked="true" hidden="false"/>
    </xf>
    <xf numFmtId="177" fontId="19" fillId="19" borderId="35" xfId="0" applyFont="true" applyBorder="true" applyAlignment="true" applyProtection="false">
      <alignment horizontal="center" vertical="center" textRotation="90" wrapText="true" indent="0" shrinkToFit="false"/>
      <protection locked="true" hidden="false"/>
    </xf>
    <xf numFmtId="177" fontId="17" fillId="19" borderId="36" xfId="0" applyFont="true" applyBorder="true" applyAlignment="true" applyProtection="false">
      <alignment horizontal="right" vertical="center" textRotation="0" wrapText="false" indent="0" shrinkToFit="false"/>
      <protection locked="true" hidden="false"/>
    </xf>
    <xf numFmtId="170" fontId="0" fillId="0" borderId="33" xfId="0" applyFont="true" applyBorder="true" applyAlignment="true" applyProtection="false">
      <alignment horizontal="center" vertical="bottom" textRotation="0" wrapText="false" indent="0" shrinkToFit="false"/>
      <protection locked="true" hidden="false"/>
    </xf>
    <xf numFmtId="180" fontId="17" fillId="19" borderId="37" xfId="0" applyFont="true" applyBorder="true" applyAlignment="true" applyProtection="false">
      <alignment horizontal="center" vertical="center" textRotation="0" wrapText="false" indent="0" shrinkToFit="false"/>
      <protection locked="true" hidden="false"/>
    </xf>
    <xf numFmtId="164" fontId="0" fillId="19" borderId="38" xfId="0" applyFont="true" applyBorder="true" applyAlignment="true" applyProtection="false">
      <alignment horizontal="left" vertical="top" textRotation="0" wrapText="true" indent="0" shrinkToFit="false"/>
      <protection locked="true" hidden="false"/>
    </xf>
    <xf numFmtId="177" fontId="17" fillId="19" borderId="6" xfId="0" applyFont="true" applyBorder="true" applyAlignment="true" applyProtection="false">
      <alignment horizontal="right" vertical="center" textRotation="0" wrapText="false" indent="0" shrinkToFit="false"/>
      <protection locked="true" hidden="false"/>
    </xf>
    <xf numFmtId="192" fontId="0" fillId="0" borderId="0" xfId="0" applyFont="true" applyBorder="true" applyAlignment="true" applyProtection="false">
      <alignment horizontal="center" vertical="bottom" textRotation="0" wrapText="false" indent="0" shrinkToFit="false"/>
      <protection locked="true" hidden="false"/>
    </xf>
    <xf numFmtId="185" fontId="17" fillId="19" borderId="7" xfId="0" applyFont="true" applyBorder="true" applyAlignment="true" applyProtection="false">
      <alignment horizontal="center" vertical="center" textRotation="0" wrapText="false" indent="0" shrinkToFit="false"/>
      <protection locked="true" hidden="false"/>
    </xf>
    <xf numFmtId="189" fontId="0" fillId="0" borderId="0" xfId="0" applyFont="true" applyBorder="true" applyAlignment="true" applyProtection="false">
      <alignment horizontal="center" vertical="bottom" textRotation="0" wrapText="false" indent="0" shrinkToFit="false"/>
      <protection locked="true" hidden="false"/>
    </xf>
    <xf numFmtId="177" fontId="21" fillId="19" borderId="6" xfId="0" applyFont="true" applyBorder="true" applyAlignment="true" applyProtection="false">
      <alignment horizontal="right" vertical="center" textRotation="0" wrapText="false" indent="0" shrinkToFit="false"/>
      <protection locked="true" hidden="false"/>
    </xf>
    <xf numFmtId="180" fontId="19" fillId="19" borderId="0" xfId="0" applyFont="true" applyBorder="true" applyAlignment="true" applyProtection="false">
      <alignment horizontal="center" vertical="bottom" textRotation="0" wrapText="false" indent="0" shrinkToFit="false"/>
      <protection locked="true" hidden="false"/>
    </xf>
    <xf numFmtId="180" fontId="17" fillId="19" borderId="7" xfId="0" applyFont="true" applyBorder="true" applyAlignment="true" applyProtection="false">
      <alignment horizontal="center" vertical="center" textRotation="0" wrapText="false" indent="0" shrinkToFit="false"/>
      <protection locked="true" hidden="false"/>
    </xf>
    <xf numFmtId="170" fontId="19" fillId="19" borderId="0" xfId="0" applyFont="true" applyBorder="true" applyAlignment="true" applyProtection="false">
      <alignment horizontal="center" vertical="bottom" textRotation="0" wrapText="false" indent="0" shrinkToFit="false"/>
      <protection locked="true" hidden="false"/>
    </xf>
    <xf numFmtId="177" fontId="17" fillId="19" borderId="20" xfId="0" applyFont="true" applyBorder="true" applyAlignment="true" applyProtection="false">
      <alignment horizontal="right" vertical="center" textRotation="0" wrapText="false" indent="0" shrinkToFit="false"/>
      <protection locked="true" hidden="false"/>
    </xf>
    <xf numFmtId="164" fontId="19" fillId="19" borderId="31" xfId="0" applyFont="true" applyBorder="true" applyAlignment="true" applyProtection="false">
      <alignment horizontal="center" vertical="bottom" textRotation="0" wrapText="false" indent="0" shrinkToFit="false"/>
      <protection locked="true" hidden="false"/>
    </xf>
    <xf numFmtId="183" fontId="17" fillId="19" borderId="21" xfId="0" applyFont="true" applyBorder="true" applyAlignment="true" applyProtection="false">
      <alignment horizontal="center" vertical="center" textRotation="0" wrapText="false" indent="0" shrinkToFit="false"/>
      <protection locked="true" hidden="false"/>
    </xf>
    <xf numFmtId="177" fontId="17" fillId="19" borderId="29" xfId="0" applyFont="true" applyBorder="true" applyAlignment="true" applyProtection="false">
      <alignment horizontal="right" vertical="center" textRotation="0" wrapText="false" indent="0" shrinkToFit="false"/>
      <protection locked="true" hidden="false"/>
    </xf>
    <xf numFmtId="177" fontId="17" fillId="0" borderId="39" xfId="0" applyFont="true" applyBorder="true" applyAlignment="true" applyProtection="false">
      <alignment horizontal="left" vertical="center" textRotation="0" wrapText="false" indent="0" shrinkToFit="false"/>
      <protection locked="true" hidden="false"/>
    </xf>
    <xf numFmtId="180" fontId="17" fillId="19" borderId="30" xfId="0" applyFont="true" applyBorder="true" applyAlignment="true" applyProtection="false">
      <alignment horizontal="center" vertical="center" textRotation="0" wrapText="false" indent="0" shrinkToFit="false"/>
      <protection locked="true" hidden="false"/>
    </xf>
    <xf numFmtId="177" fontId="17" fillId="0" borderId="0" xfId="0" applyFont="true" applyBorder="true" applyAlignment="true" applyProtection="false">
      <alignment horizontal="left" vertical="center" textRotation="0" wrapText="false" indent="0" shrinkToFit="false"/>
      <protection locked="true" hidden="false"/>
    </xf>
    <xf numFmtId="183" fontId="0" fillId="0" borderId="0" xfId="0" applyFont="true" applyBorder="true" applyAlignment="true" applyProtection="false">
      <alignment horizontal="left" vertical="center" textRotation="0" wrapText="false" indent="0" shrinkToFit="false"/>
      <protection locked="true" hidden="false"/>
    </xf>
    <xf numFmtId="183" fontId="17" fillId="19" borderId="7" xfId="0" applyFont="true" applyBorder="true" applyAlignment="true" applyProtection="false">
      <alignment horizontal="center" vertical="center" textRotation="0" wrapText="false" indent="0" shrinkToFit="false"/>
      <protection locked="true" hidden="false"/>
    </xf>
    <xf numFmtId="189" fontId="17" fillId="19" borderId="7" xfId="0" applyFont="true" applyBorder="true" applyAlignment="true" applyProtection="false">
      <alignment horizontal="center" vertical="center" textRotation="0" wrapText="false" indent="0" shrinkToFit="false"/>
      <protection locked="true" hidden="false"/>
    </xf>
    <xf numFmtId="170" fontId="0" fillId="0" borderId="0" xfId="0" applyFont="true" applyBorder="true" applyAlignment="true" applyProtection="false">
      <alignment horizontal="left" vertical="center" textRotation="0" wrapText="false" indent="0" shrinkToFit="false"/>
      <protection locked="true" hidden="false"/>
    </xf>
    <xf numFmtId="172" fontId="17" fillId="0" borderId="0" xfId="19" applyFont="true" applyBorder="true" applyAlignment="true" applyProtection="true">
      <alignment horizontal="left" vertical="center" textRotation="0" wrapText="false" indent="0" shrinkToFit="false"/>
      <protection locked="true" hidden="false"/>
    </xf>
    <xf numFmtId="189" fontId="17" fillId="19" borderId="21" xfId="0" applyFont="true" applyBorder="true" applyAlignment="true" applyProtection="false">
      <alignment horizontal="center" vertical="center" textRotation="0" wrapText="false" indent="0" shrinkToFit="false"/>
      <protection locked="true" hidden="false"/>
    </xf>
    <xf numFmtId="164" fontId="0" fillId="19" borderId="29" xfId="0" applyFont="true" applyBorder="true" applyAlignment="true" applyProtection="false">
      <alignment horizontal="right" vertical="center" textRotation="0" wrapText="false" indent="0" shrinkToFit="false"/>
      <protection locked="true" hidden="false"/>
    </xf>
    <xf numFmtId="193" fontId="19" fillId="19" borderId="39" xfId="0" applyFont="true" applyBorder="true" applyAlignment="true" applyProtection="false">
      <alignment horizontal="center" vertical="center" textRotation="0" wrapText="false" indent="0" shrinkToFit="false"/>
      <protection locked="true" hidden="false"/>
    </xf>
    <xf numFmtId="189" fontId="17" fillId="19" borderId="30" xfId="0" applyFont="true" applyBorder="true" applyAlignment="true" applyProtection="false">
      <alignment horizontal="center" vertical="center" textRotation="0" wrapText="false" indent="0" shrinkToFit="false"/>
      <protection locked="true" hidden="false"/>
    </xf>
    <xf numFmtId="171" fontId="19" fillId="19" borderId="0" xfId="0" applyFont="true" applyBorder="true" applyAlignment="true" applyProtection="false">
      <alignment horizontal="center" vertical="bottom" textRotation="0" wrapText="false" indent="0" shrinkToFit="false"/>
      <protection locked="true" hidden="false"/>
    </xf>
    <xf numFmtId="164" fontId="0" fillId="19" borderId="6" xfId="0" applyFont="true" applyBorder="true" applyAlignment="true" applyProtection="false">
      <alignment horizontal="right" vertical="center" textRotation="0" wrapText="false" indent="0" shrinkToFit="false"/>
      <protection locked="true" hidden="false"/>
    </xf>
    <xf numFmtId="185" fontId="19" fillId="19" borderId="0" xfId="0" applyFont="true" applyBorder="true" applyAlignment="true" applyProtection="false">
      <alignment horizontal="center" vertical="bottom" textRotation="0" wrapText="false" indent="0" shrinkToFit="false"/>
      <protection locked="true" hidden="false"/>
    </xf>
    <xf numFmtId="181" fontId="19" fillId="19" borderId="0" xfId="0" applyFont="true" applyBorder="true" applyAlignment="true" applyProtection="false">
      <alignment horizontal="center" vertical="bottom" textRotation="0" wrapText="false" indent="0" shrinkToFit="false"/>
      <protection locked="true" hidden="false"/>
    </xf>
    <xf numFmtId="164" fontId="17" fillId="19" borderId="40" xfId="0" applyFont="true" applyBorder="true" applyAlignment="true" applyProtection="false">
      <alignment horizontal="right" vertical="center" textRotation="0" wrapText="false" indent="0" shrinkToFit="false"/>
      <protection locked="true" hidden="false"/>
    </xf>
    <xf numFmtId="189" fontId="19" fillId="19" borderId="41" xfId="0" applyFont="true" applyBorder="true" applyAlignment="true" applyProtection="false">
      <alignment horizontal="center" vertical="bottom" textRotation="0" wrapText="false" indent="0" shrinkToFit="false"/>
      <protection locked="true" hidden="false"/>
    </xf>
    <xf numFmtId="180" fontId="17" fillId="19" borderId="42" xfId="0" applyFont="true" applyBorder="true" applyAlignment="true" applyProtection="false">
      <alignment horizontal="center" vertical="center" textRotation="0" wrapText="false" indent="0" shrinkToFit="false"/>
      <protection locked="true" hidden="false"/>
    </xf>
    <xf numFmtId="164" fontId="19" fillId="20" borderId="32" xfId="0" applyFont="true" applyBorder="true" applyAlignment="true" applyProtection="false">
      <alignment horizontal="center" vertical="center" textRotation="90" wrapText="false" indent="0" shrinkToFit="false"/>
      <protection locked="true" hidden="false"/>
    </xf>
    <xf numFmtId="177" fontId="19" fillId="20" borderId="0" xfId="0" applyFont="true" applyBorder="true" applyAlignment="true" applyProtection="false">
      <alignment horizontal="center" vertical="center" textRotation="0" wrapText="true" indent="0" shrinkToFit="false"/>
      <protection locked="true" hidden="false"/>
    </xf>
    <xf numFmtId="164" fontId="0" fillId="20" borderId="0" xfId="0" applyFont="true" applyBorder="true" applyAlignment="false" applyProtection="false">
      <alignment horizontal="general" vertical="bottom" textRotation="0" wrapText="false" indent="0" shrinkToFit="false"/>
      <protection locked="true" hidden="false"/>
    </xf>
    <xf numFmtId="189" fontId="19" fillId="20" borderId="0" xfId="0" applyFont="true" applyBorder="true" applyAlignment="true" applyProtection="false">
      <alignment horizontal="center" vertical="center" textRotation="0" wrapText="false" indent="0" shrinkToFit="false"/>
      <protection locked="true" hidden="false"/>
    </xf>
    <xf numFmtId="164" fontId="19" fillId="20" borderId="0" xfId="0" applyFont="true" applyBorder="true" applyAlignment="true" applyProtection="false">
      <alignment horizontal="center" vertical="center" textRotation="0" wrapText="false" indent="0" shrinkToFit="false"/>
      <protection locked="true" hidden="false"/>
    </xf>
    <xf numFmtId="164" fontId="0" fillId="20" borderId="12" xfId="0" applyFont="true" applyBorder="true" applyAlignment="false" applyProtection="false">
      <alignment horizontal="general" vertical="bottom" textRotation="0" wrapText="false" indent="0" shrinkToFit="false"/>
      <protection locked="true" hidden="false"/>
    </xf>
    <xf numFmtId="177" fontId="0" fillId="20" borderId="0" xfId="0" applyFont="true" applyBorder="true" applyAlignment="true" applyProtection="false">
      <alignment horizontal="right" vertical="center" textRotation="0" wrapText="true" indent="0" shrinkToFit="false"/>
      <protection locked="true" hidden="false"/>
    </xf>
    <xf numFmtId="185" fontId="0" fillId="20" borderId="0" xfId="0" applyFont="true" applyBorder="true" applyAlignment="true" applyProtection="false">
      <alignment horizontal="center" vertical="center" textRotation="0" wrapText="false" indent="0" shrinkToFit="false"/>
      <protection locked="true" hidden="false"/>
    </xf>
    <xf numFmtId="185" fontId="19" fillId="20" borderId="0" xfId="0" applyFont="true" applyBorder="true" applyAlignment="true" applyProtection="false">
      <alignment horizontal="center" vertical="center" textRotation="0" wrapText="false" indent="0" shrinkToFit="false"/>
      <protection locked="true" hidden="false"/>
    </xf>
    <xf numFmtId="164" fontId="17" fillId="20" borderId="0" xfId="0" applyFont="true" applyBorder="true" applyAlignment="true" applyProtection="false">
      <alignment horizontal="right" vertical="bottom" textRotation="0" wrapText="false" indent="0" shrinkToFit="false"/>
      <protection locked="true" hidden="false"/>
    </xf>
    <xf numFmtId="181" fontId="0" fillId="20" borderId="0" xfId="0" applyFont="true" applyBorder="true" applyAlignment="true" applyProtection="false">
      <alignment horizontal="center" vertical="center" textRotation="0" wrapText="false" indent="0" shrinkToFit="false"/>
      <protection locked="true" hidden="false"/>
    </xf>
    <xf numFmtId="164" fontId="19" fillId="20" borderId="0" xfId="0" applyFont="true" applyBorder="true" applyAlignment="false" applyProtection="false">
      <alignment horizontal="general" vertical="bottom" textRotation="0" wrapText="false" indent="0" shrinkToFit="false"/>
      <protection locked="true" hidden="false"/>
    </xf>
    <xf numFmtId="164" fontId="17" fillId="20" borderId="0" xfId="0" applyFont="true" applyBorder="true" applyAlignment="true" applyProtection="false">
      <alignment horizontal="right" vertical="center" textRotation="0" wrapText="false" indent="0" shrinkToFit="false"/>
      <protection locked="true" hidden="false"/>
    </xf>
    <xf numFmtId="194" fontId="17" fillId="20" borderId="0" xfId="0" applyFont="true" applyBorder="true" applyAlignment="true" applyProtection="false">
      <alignment horizontal="right" vertical="center" textRotation="0" wrapText="false" indent="0" shrinkToFit="false"/>
      <protection locked="true" hidden="false"/>
    </xf>
    <xf numFmtId="194" fontId="17" fillId="20" borderId="43" xfId="0" applyFont="true" applyBorder="true" applyAlignment="true" applyProtection="false">
      <alignment horizontal="right" vertical="center" textRotation="0" wrapText="false" indent="0" shrinkToFit="false"/>
      <protection locked="true" hidden="false"/>
    </xf>
    <xf numFmtId="185" fontId="0" fillId="20" borderId="44" xfId="0" applyFont="true" applyBorder="true" applyAlignment="true" applyProtection="false">
      <alignment horizontal="center" vertical="center" textRotation="0" wrapText="false" indent="0" shrinkToFit="false"/>
      <protection locked="true" hidden="false"/>
    </xf>
    <xf numFmtId="185" fontId="19" fillId="20" borderId="44" xfId="0" applyFont="true" applyBorder="true" applyAlignment="true" applyProtection="false">
      <alignment horizontal="center" vertical="center" textRotation="0" wrapText="false" indent="0" shrinkToFit="false"/>
      <protection locked="true" hidden="false"/>
    </xf>
    <xf numFmtId="185" fontId="19" fillId="20" borderId="45" xfId="0" applyFont="true" applyBorder="true" applyAlignment="false" applyProtection="false">
      <alignment horizontal="general" vertical="bottom" textRotation="0" wrapText="false" indent="0" shrinkToFit="false"/>
      <protection locked="true" hidden="false"/>
    </xf>
    <xf numFmtId="185" fontId="0" fillId="20" borderId="0" xfId="0" applyFont="true" applyBorder="true" applyAlignment="false" applyProtection="false">
      <alignment horizontal="general" vertical="bottom" textRotation="0" wrapText="false" indent="0" shrinkToFit="false"/>
      <protection locked="true" hidden="false"/>
    </xf>
    <xf numFmtId="181" fontId="0" fillId="20" borderId="44" xfId="0" applyFont="true" applyBorder="true" applyAlignment="true" applyProtection="false">
      <alignment horizontal="center" vertical="center" textRotation="0" wrapText="false" indent="0" shrinkToFit="false"/>
      <protection locked="true" hidden="false"/>
    </xf>
    <xf numFmtId="164" fontId="0" fillId="20" borderId="15" xfId="0" applyFont="true" applyBorder="true" applyAlignment="false" applyProtection="false">
      <alignment horizontal="general" vertical="bottom" textRotation="0" wrapText="false" indent="0" shrinkToFit="false"/>
      <protection locked="true" hidden="false"/>
    </xf>
    <xf numFmtId="164" fontId="0" fillId="20" borderId="41" xfId="0" applyFont="true" applyBorder="true" applyAlignment="false" applyProtection="false">
      <alignment horizontal="general" vertical="bottom" textRotation="0" wrapText="false" indent="0" shrinkToFit="false"/>
      <protection locked="true" hidden="false"/>
    </xf>
    <xf numFmtId="181" fontId="0" fillId="20" borderId="41" xfId="0" applyFont="true" applyBorder="true" applyAlignment="true" applyProtection="false">
      <alignment horizontal="center" vertical="center" textRotation="0" wrapText="false" indent="0" shrinkToFit="false"/>
      <protection locked="true" hidden="false"/>
    </xf>
    <xf numFmtId="164" fontId="0" fillId="20" borderId="16"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9" fillId="16" borderId="29" xfId="0" applyFont="true" applyBorder="true" applyAlignment="true" applyProtection="false">
      <alignment horizontal="center" vertical="center" textRotation="0" wrapText="false" indent="0" shrinkToFit="false"/>
      <protection locked="true" hidden="false"/>
    </xf>
    <xf numFmtId="164" fontId="19" fillId="16" borderId="39" xfId="0" applyFont="true" applyBorder="true" applyAlignment="true" applyProtection="false">
      <alignment horizontal="center" vertical="center" textRotation="0" wrapText="false" indent="0" shrinkToFit="false"/>
      <protection locked="true" hidden="false"/>
    </xf>
    <xf numFmtId="164" fontId="19" fillId="16" borderId="30" xfId="0" applyFont="true" applyBorder="true" applyAlignment="true" applyProtection="false">
      <alignment horizontal="center" vertical="center" textRotation="0" wrapText="false" indent="0" shrinkToFit="false"/>
      <protection locked="true" hidden="false"/>
    </xf>
    <xf numFmtId="164" fontId="17" fillId="0" borderId="6" xfId="0" applyFont="true" applyBorder="true" applyAlignment="true" applyProtection="false">
      <alignment horizontal="right" vertical="center" textRotation="0" wrapText="false" indent="0" shrinkToFit="false"/>
      <protection locked="true" hidden="false"/>
    </xf>
    <xf numFmtId="170" fontId="0" fillId="17" borderId="0" xfId="0" applyFont="true" applyBorder="true" applyAlignment="false" applyProtection="false">
      <alignment horizontal="general" vertical="bottom" textRotation="0" wrapText="false" indent="0" shrinkToFit="false"/>
      <protection locked="true" hidden="false"/>
    </xf>
    <xf numFmtId="185" fontId="0" fillId="17" borderId="7" xfId="0" applyFont="true" applyBorder="true" applyAlignment="false" applyProtection="false">
      <alignment horizontal="general" vertical="bottom" textRotation="0" wrapText="false" indent="0" shrinkToFit="false"/>
      <protection locked="true" hidden="false"/>
    </xf>
    <xf numFmtId="164" fontId="19" fillId="0" borderId="6" xfId="0" applyFont="true" applyBorder="true" applyAlignment="true" applyProtection="false">
      <alignment horizontal="right" vertical="center" textRotation="0" wrapText="false" indent="0" shrinkToFit="false"/>
      <protection locked="true" hidden="false"/>
    </xf>
    <xf numFmtId="170" fontId="0" fillId="0" borderId="0" xfId="0" applyFont="true" applyBorder="true" applyAlignment="false" applyProtection="false">
      <alignment horizontal="general" vertical="bottom" textRotation="0" wrapText="false" indent="0" shrinkToFit="false"/>
      <protection locked="true" hidden="false"/>
    </xf>
    <xf numFmtId="164" fontId="0" fillId="0" borderId="20" xfId="0" applyFont="true" applyBorder="true" applyAlignment="true" applyProtection="false">
      <alignment horizontal="right" vertical="center" textRotation="0" wrapText="false" indent="0" shrinkToFit="false"/>
      <protection locked="true" hidden="false"/>
    </xf>
    <xf numFmtId="170" fontId="0" fillId="17" borderId="31" xfId="0" applyFont="true" applyBorder="true" applyAlignment="false" applyProtection="false">
      <alignment horizontal="general" vertical="bottom" textRotation="0" wrapText="false" indent="0" shrinkToFit="false"/>
      <protection locked="true" hidden="false"/>
    </xf>
    <xf numFmtId="185" fontId="0" fillId="17" borderId="21" xfId="0" applyFont="true" applyBorder="true" applyAlignment="false" applyProtection="false">
      <alignment horizontal="general" vertical="bottom" textRotation="0" wrapText="false" indent="0" shrinkToFit="false"/>
      <protection locked="true" hidden="false"/>
    </xf>
    <xf numFmtId="170" fontId="0" fillId="0" borderId="0"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left" vertical="center" textRotation="0" wrapText="false" indent="0" shrinkToFit="false"/>
      <protection locked="true" hidden="false"/>
    </xf>
    <xf numFmtId="171" fontId="0" fillId="17" borderId="0" xfId="0" applyFont="true" applyBorder="true" applyAlignment="false" applyProtection="false">
      <alignment horizontal="general" vertical="bottom" textRotation="0" wrapText="false" indent="0" shrinkToFit="false"/>
      <protection locked="true" hidden="false"/>
    </xf>
    <xf numFmtId="179" fontId="17" fillId="17" borderId="0" xfId="15" applyFont="true" applyBorder="true" applyAlignment="true" applyProtection="true">
      <alignment horizontal="general" vertical="bottom" textRotation="0" wrapText="false" indent="0" shrinkToFit="false"/>
      <protection locked="true" hidden="false"/>
    </xf>
    <xf numFmtId="179" fontId="17" fillId="0" borderId="0" xfId="15" applyFont="true" applyBorder="true" applyAlignment="true" applyProtection="true">
      <alignment horizontal="general" vertical="bottom" textRotation="0" wrapText="false" indent="0" shrinkToFit="false"/>
      <protection locked="true" hidden="false"/>
    </xf>
    <xf numFmtId="178" fontId="0" fillId="0" borderId="7" xfId="0" applyFont="true" applyBorder="true" applyAlignment="true" applyProtection="false">
      <alignment horizontal="left" vertical="center" textRotation="0" wrapText="false" indent="0" shrinkToFit="false"/>
      <protection locked="true" hidden="false"/>
    </xf>
    <xf numFmtId="169" fontId="17" fillId="17" borderId="0" xfId="15" applyFont="true" applyBorder="true" applyAlignment="true" applyProtection="true">
      <alignment horizontal="general" vertical="bottom" textRotation="0" wrapText="false" indent="0" shrinkToFit="false"/>
      <protection locked="true" hidden="false"/>
    </xf>
    <xf numFmtId="169" fontId="17" fillId="0" borderId="0" xfId="15" applyFont="true" applyBorder="true" applyAlignment="true" applyProtection="true">
      <alignment horizontal="general" vertical="bottom" textRotation="0" wrapText="false" indent="0" shrinkToFit="false"/>
      <protection locked="true" hidden="false"/>
    </xf>
    <xf numFmtId="169" fontId="0" fillId="17" borderId="0" xfId="0" applyFont="true" applyBorder="true" applyAlignment="false" applyProtection="false">
      <alignment horizontal="general" vertical="bottom" textRotation="0" wrapText="false" indent="0" shrinkToFit="false"/>
      <protection locked="true" hidden="false"/>
    </xf>
    <xf numFmtId="169" fontId="0" fillId="0" borderId="0" xfId="0" applyFont="true" applyBorder="true" applyAlignment="false" applyProtection="false">
      <alignment horizontal="general" vertical="bottom" textRotation="0" wrapText="false" indent="0" shrinkToFit="false"/>
      <protection locked="true" hidden="false"/>
    </xf>
    <xf numFmtId="164" fontId="17" fillId="0" borderId="20" xfId="0" applyFont="true" applyBorder="true" applyAlignment="true" applyProtection="false">
      <alignment horizontal="right" vertical="center" textRotation="0" wrapText="false" indent="0" shrinkToFit="false"/>
      <protection locked="true" hidden="false"/>
    </xf>
    <xf numFmtId="179" fontId="17" fillId="17" borderId="31" xfId="15" applyFont="true" applyBorder="true" applyAlignment="true" applyProtection="true">
      <alignment horizontal="general" vertical="bottom" textRotation="0" wrapText="false" indent="0" shrinkToFit="false"/>
      <protection locked="true" hidden="false"/>
    </xf>
    <xf numFmtId="164" fontId="0" fillId="0" borderId="21" xfId="0" applyFont="true" applyBorder="true" applyAlignment="true" applyProtection="false">
      <alignment horizontal="left" vertical="center" textRotation="0" wrapText="false" indent="0" shrinkToFit="false"/>
      <protection locked="true" hidden="false"/>
    </xf>
    <xf numFmtId="173" fontId="0" fillId="17" borderId="0"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right" vertical="center" textRotation="0" wrapText="false" indent="0" shrinkToFit="false"/>
      <protection locked="true" hidden="false"/>
    </xf>
    <xf numFmtId="164" fontId="0" fillId="0" borderId="20" xfId="0" applyFont="true" applyBorder="true" applyAlignment="true" applyProtection="false">
      <alignment horizontal="right" vertical="center" textRotation="0" wrapText="false" indent="0" shrinkToFit="false"/>
      <protection locked="true" hidden="false"/>
    </xf>
    <xf numFmtId="173" fontId="0" fillId="17" borderId="31" xfId="0" applyFont="true" applyBorder="true" applyAlignment="false" applyProtection="false">
      <alignment horizontal="general" vertical="bottom" textRotation="0" wrapText="false" indent="0" shrinkToFit="false"/>
      <protection locked="true" hidden="false"/>
    </xf>
    <xf numFmtId="185" fontId="0" fillId="17" borderId="0" xfId="0" applyFont="true" applyBorder="true" applyAlignment="false" applyProtection="false">
      <alignment horizontal="general" vertical="bottom" textRotation="0" wrapText="false" indent="0" shrinkToFit="false"/>
      <protection locked="true" hidden="false"/>
    </xf>
    <xf numFmtId="185" fontId="0" fillId="17" borderId="0" xfId="0" applyFont="true" applyBorder="false" applyAlignment="fals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right" vertical="bottom" textRotation="0" wrapText="false" indent="0" shrinkToFit="false"/>
      <protection locked="true" hidden="false"/>
    </xf>
    <xf numFmtId="173" fontId="17" fillId="17" borderId="0" xfId="15" applyFont="true" applyBorder="true" applyAlignment="true" applyProtection="true">
      <alignment horizontal="general" vertical="bottom" textRotation="0" wrapText="false" indent="0" shrinkToFit="false"/>
      <protection locked="true" hidden="false"/>
    </xf>
    <xf numFmtId="164" fontId="0" fillId="0" borderId="20" xfId="0" applyFont="false" applyBorder="true" applyAlignment="true" applyProtection="false">
      <alignment horizontal="right" vertical="bottom" textRotation="0" wrapText="false" indent="0" shrinkToFit="false"/>
      <protection locked="true" hidden="false"/>
    </xf>
    <xf numFmtId="185" fontId="0" fillId="17" borderId="31" xfId="0" applyFont="true" applyBorder="true" applyAlignment="false" applyProtection="false">
      <alignment horizontal="general" vertical="bottom" textRotation="0" wrapText="false" indent="0" shrinkToFit="false"/>
      <protection locked="true" hidden="false"/>
    </xf>
    <xf numFmtId="177" fontId="0" fillId="0" borderId="0" xfId="0" applyFont="true" applyBorder="false" applyAlignment="true" applyProtection="false">
      <alignment horizontal="general" vertical="bottom" textRotation="0" wrapText="true" indent="0" shrinkToFit="false"/>
      <protection locked="true" hidden="false"/>
    </xf>
    <xf numFmtId="164" fontId="32" fillId="16" borderId="0" xfId="0" applyFont="true" applyBorder="true" applyAlignment="true" applyProtection="false">
      <alignment horizontal="center" vertical="center" textRotation="0" wrapText="false" indent="0" shrinkToFit="false"/>
      <protection locked="true" hidden="false"/>
    </xf>
    <xf numFmtId="164" fontId="32" fillId="16" borderId="0" xfId="0" applyFont="true" applyBorder="false" applyAlignment="true" applyProtection="false">
      <alignment horizontal="center" vertical="center" textRotation="0" wrapText="false" indent="0" shrinkToFit="false"/>
      <protection locked="true" hidden="false"/>
    </xf>
    <xf numFmtId="177" fontId="32" fillId="16" borderId="0" xfId="0" applyFont="true" applyBorder="false" applyAlignment="true" applyProtection="false">
      <alignment horizontal="left" vertical="center" textRotation="0" wrapText="true" indent="0" shrinkToFit="false"/>
      <protection locked="true" hidden="false"/>
    </xf>
    <xf numFmtId="177" fontId="17" fillId="0" borderId="0" xfId="0" applyFont="true" applyBorder="false" applyAlignment="true" applyProtection="false">
      <alignment horizontal="right" vertical="center" textRotation="0" wrapText="true" indent="0" shrinkToFit="false"/>
      <protection locked="true" hidden="false"/>
    </xf>
    <xf numFmtId="177" fontId="17" fillId="21" borderId="0" xfId="0" applyFont="true" applyBorder="false" applyAlignment="true" applyProtection="false">
      <alignment horizontal="center" vertical="center" textRotation="0" wrapText="false" indent="0" shrinkToFit="false"/>
      <protection locked="true" hidden="false"/>
    </xf>
    <xf numFmtId="177" fontId="0" fillId="0" borderId="0" xfId="0" applyFont="true" applyBorder="fals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70" fontId="0" fillId="0" borderId="0" xfId="0" applyFont="true" applyBorder="false" applyAlignment="true" applyProtection="false">
      <alignment horizontal="center" vertical="center" textRotation="0" wrapText="false" indent="0" shrinkToFit="false"/>
      <protection locked="true" hidden="false"/>
    </xf>
    <xf numFmtId="169" fontId="0"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85" fontId="0" fillId="0" borderId="0" xfId="0" applyFont="true" applyBorder="false" applyAlignment="true" applyProtection="false">
      <alignment horizontal="center" vertical="center" textRotation="0" wrapText="false" indent="0" shrinkToFit="false"/>
      <protection locked="true" hidden="false"/>
    </xf>
    <xf numFmtId="185" fontId="0" fillId="17" borderId="0" xfId="0" applyFont="true" applyBorder="false" applyAlignment="true" applyProtection="false">
      <alignment horizontal="center" vertical="center" textRotation="0" wrapText="false" indent="0" shrinkToFit="false"/>
      <protection locked="true" hidden="false"/>
    </xf>
    <xf numFmtId="185" fontId="0" fillId="0" borderId="0" xfId="0" applyFont="true" applyBorder="false" applyAlignment="true" applyProtection="false">
      <alignment horizontal="center" vertical="center" textRotation="0" wrapText="false" indent="0" shrinkToFit="false"/>
      <protection locked="true" hidden="false"/>
    </xf>
    <xf numFmtId="189" fontId="17" fillId="17" borderId="0" xfId="0" applyFont="true" applyBorder="false" applyAlignment="true" applyProtection="false">
      <alignment horizontal="center" vertical="center" textRotation="0" wrapText="false" indent="0" shrinkToFit="false"/>
      <protection locked="true" hidden="false"/>
    </xf>
    <xf numFmtId="169" fontId="17" fillId="17" borderId="0" xfId="0" applyFont="true" applyBorder="false" applyAlignment="true" applyProtection="false">
      <alignment horizontal="center" vertical="center" textRotation="0" wrapText="false" indent="0" shrinkToFit="false"/>
      <protection locked="true" hidden="false"/>
    </xf>
    <xf numFmtId="177" fontId="0" fillId="15" borderId="0" xfId="0" applyFont="true" applyBorder="false" applyAlignment="true" applyProtection="false">
      <alignment horizontal="general" vertical="bottom" textRotation="0" wrapText="true" indent="0" shrinkToFit="false"/>
      <protection locked="true" hidden="false"/>
    </xf>
    <xf numFmtId="176" fontId="17" fillId="17" borderId="0" xfId="0" applyFont="true" applyBorder="false" applyAlignment="true" applyProtection="false">
      <alignment horizontal="center" vertical="center" textRotation="0" wrapText="false" indent="0" shrinkToFit="false"/>
      <protection locked="true" hidden="false"/>
    </xf>
    <xf numFmtId="171" fontId="17" fillId="17" borderId="0" xfId="0" applyFont="true" applyBorder="false" applyAlignment="true" applyProtection="false">
      <alignment horizontal="center" vertical="center" textRotation="0" wrapText="false" indent="0" shrinkToFit="false"/>
      <protection locked="true" hidden="false"/>
    </xf>
    <xf numFmtId="164" fontId="32" fillId="16" borderId="0" xfId="0" applyFont="true" applyBorder="true" applyAlignment="true" applyProtection="false">
      <alignment horizontal="center" vertical="bottom" textRotation="0" wrapText="false" indent="0" shrinkToFit="false"/>
      <protection locked="true" hidden="false"/>
    </xf>
    <xf numFmtId="177" fontId="17" fillId="0" borderId="0" xfId="0" applyFont="true" applyBorder="true" applyAlignment="true" applyProtection="false">
      <alignment horizontal="left" vertical="top" textRotation="0" wrapText="true" indent="0" shrinkToFit="false"/>
      <protection locked="true" hidden="false"/>
    </xf>
    <xf numFmtId="170" fontId="17" fillId="17" borderId="0" xfId="0" applyFont="true" applyBorder="false" applyAlignment="true" applyProtection="false">
      <alignment horizontal="center" vertical="bottom" textRotation="0" wrapText="false" indent="0" shrinkToFit="false"/>
      <protection locked="true" hidden="false"/>
    </xf>
    <xf numFmtId="169" fontId="17" fillId="0" borderId="0" xfId="0" applyFont="true" applyBorder="false" applyAlignment="true" applyProtection="false">
      <alignment horizontal="center" vertical="center" textRotation="0" wrapText="false" indent="0" shrinkToFit="false"/>
      <protection locked="true" hidden="false"/>
    </xf>
    <xf numFmtId="177" fontId="33" fillId="15" borderId="0" xfId="0" applyFont="true" applyBorder="true" applyAlignment="true" applyProtection="false">
      <alignment horizontal="left" vertical="top" textRotation="0" wrapText="true" indent="0" shrinkToFit="false"/>
      <protection locked="true" hidden="false"/>
    </xf>
    <xf numFmtId="170" fontId="17" fillId="0" borderId="0" xfId="0" applyFont="true" applyBorder="false" applyAlignment="true" applyProtection="false">
      <alignment horizontal="center" vertical="bottom" textRotation="0" wrapText="false" indent="0" shrinkToFit="false"/>
      <protection locked="true" hidden="false"/>
    </xf>
    <xf numFmtId="177" fontId="17" fillId="15" borderId="0" xfId="0" applyFont="true" applyBorder="true" applyAlignment="true" applyProtection="false">
      <alignment horizontal="left" vertical="top" textRotation="0" wrapText="true" indent="0" shrinkToFit="false"/>
      <protection locked="true" hidden="false"/>
    </xf>
    <xf numFmtId="171" fontId="17" fillId="0" borderId="0" xfId="0" applyFont="true" applyBorder="false" applyAlignment="true" applyProtection="false">
      <alignment horizontal="center" vertical="bottom" textRotation="0" wrapText="false" indent="0" shrinkToFit="false"/>
      <protection locked="true" hidden="false"/>
    </xf>
    <xf numFmtId="177" fontId="17" fillId="0" borderId="0" xfId="0" applyFont="true" applyBorder="false" applyAlignment="true" applyProtection="false">
      <alignment horizontal="general" vertical="bottom" textRotation="0" wrapText="true" indent="0" shrinkToFit="false"/>
      <protection locked="true" hidden="false"/>
    </xf>
    <xf numFmtId="177" fontId="17" fillId="17" borderId="0" xfId="0" applyFont="true" applyBorder="false" applyAlignment="true" applyProtection="false">
      <alignment horizontal="center" vertical="center" textRotation="0" wrapText="true" indent="0" shrinkToFit="false"/>
      <protection locked="true" hidden="false"/>
    </xf>
    <xf numFmtId="164" fontId="0" fillId="17" borderId="0" xfId="0" applyFont="true" applyBorder="false" applyAlignment="false" applyProtection="false">
      <alignment horizontal="general" vertical="bottom" textRotation="0" wrapText="fals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right" vertical="center" textRotation="0" wrapText="false" indent="0" shrinkToFit="false"/>
      <protection locked="true" hidden="false"/>
    </xf>
    <xf numFmtId="171" fontId="19" fillId="17"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32" fillId="16" borderId="4" xfId="0" applyFont="true" applyBorder="true" applyAlignment="true" applyProtection="false">
      <alignment horizontal="center" vertical="center" textRotation="0" wrapText="false" indent="0" shrinkToFit="false"/>
      <protection locked="true" hidden="false"/>
    </xf>
    <xf numFmtId="164" fontId="32" fillId="16" borderId="46" xfId="0" applyFont="true" applyBorder="true" applyAlignment="true" applyProtection="false">
      <alignment horizontal="center" vertical="center" textRotation="0" wrapText="false" indent="0" shrinkToFit="false"/>
      <protection locked="true" hidden="false"/>
    </xf>
    <xf numFmtId="164" fontId="32" fillId="16" borderId="47" xfId="0" applyFont="true" applyBorder="true" applyAlignment="true" applyProtection="false">
      <alignment horizontal="center" vertical="center" textRotation="0" wrapText="false" indent="0" shrinkToFit="false"/>
      <protection locked="true" hidden="false"/>
    </xf>
    <xf numFmtId="164" fontId="15" fillId="9" borderId="6" xfId="0" applyFont="true" applyBorder="true" applyAlignment="true" applyProtection="false">
      <alignment horizontal="center" vertical="bottom" textRotation="0" wrapText="false" indent="0" shrinkToFit="false"/>
      <protection locked="true" hidden="false"/>
    </xf>
    <xf numFmtId="171" fontId="15" fillId="9" borderId="0" xfId="0" applyFont="true" applyBorder="true" applyAlignment="true" applyProtection="false">
      <alignment horizontal="center" vertical="bottom" textRotation="0" wrapText="false" indent="0" shrinkToFit="false"/>
      <protection locked="true" hidden="false"/>
    </xf>
    <xf numFmtId="164" fontId="15" fillId="9" borderId="0" xfId="0" applyFont="true" applyBorder="false" applyAlignment="true" applyProtection="false">
      <alignment horizontal="center" vertical="bottom" textRotation="0" wrapText="false" indent="0" shrinkToFit="false"/>
      <protection locked="true" hidden="false"/>
    </xf>
    <xf numFmtId="164" fontId="15" fillId="9" borderId="7" xfId="0" applyFont="true" applyBorder="true" applyAlignment="false" applyProtection="false">
      <alignment horizontal="general" vertical="bottom" textRotation="0" wrapText="false" indent="0" shrinkToFit="false"/>
      <protection locked="true" hidden="false"/>
    </xf>
    <xf numFmtId="164" fontId="0" fillId="17" borderId="11" xfId="0" applyFont="true" applyBorder="true" applyAlignment="false" applyProtection="false">
      <alignment horizontal="general" vertical="bottom" textRotation="0" wrapText="false" indent="0" shrinkToFit="false"/>
      <protection locked="true" hidden="false"/>
    </xf>
    <xf numFmtId="164" fontId="0" fillId="8" borderId="0" xfId="0" applyFont="true" applyBorder="true" applyAlignment="true" applyProtection="false">
      <alignment horizontal="right" vertical="bottom" textRotation="0" wrapText="false" indent="0" shrinkToFit="false"/>
      <protection locked="true" hidden="false"/>
    </xf>
    <xf numFmtId="164" fontId="0" fillId="17" borderId="7" xfId="0" applyFont="true" applyBorder="true" applyAlignment="false" applyProtection="false">
      <alignment horizontal="general" vertical="bottom" textRotation="0" wrapText="false" indent="0" shrinkToFit="false"/>
      <protection locked="true" hidden="false"/>
    </xf>
    <xf numFmtId="164" fontId="32" fillId="16" borderId="6" xfId="0" applyFont="true" applyBorder="true" applyAlignment="false" applyProtection="false">
      <alignment horizontal="general" vertical="bottom" textRotation="0" wrapText="false" indent="0" shrinkToFit="false"/>
      <protection locked="true" hidden="false"/>
    </xf>
    <xf numFmtId="164" fontId="32" fillId="16" borderId="12" xfId="0" applyFont="true" applyBorder="true" applyAlignment="true" applyProtection="false">
      <alignment horizontal="center" vertical="center" textRotation="0" wrapText="true" indent="0" shrinkToFit="false"/>
      <protection locked="true" hidden="false"/>
    </xf>
    <xf numFmtId="164" fontId="0" fillId="17" borderId="6" xfId="0" applyFont="true" applyBorder="true" applyAlignment="false" applyProtection="false">
      <alignment horizontal="general" vertical="bottom" textRotation="0" wrapText="false" indent="0" shrinkToFit="false"/>
      <protection locked="true" hidden="false"/>
    </xf>
    <xf numFmtId="171" fontId="0" fillId="0" borderId="0" xfId="0" applyFont="true" applyBorder="false" applyAlignment="false" applyProtection="false">
      <alignment horizontal="general" vertical="bottom" textRotation="0" wrapText="false" indent="0" shrinkToFit="false"/>
      <protection locked="true" hidden="false"/>
    </xf>
    <xf numFmtId="181" fontId="0" fillId="0" borderId="0" xfId="0" applyFont="true" applyBorder="true" applyAlignment="false" applyProtection="false">
      <alignment horizontal="general" vertical="bottom" textRotation="0" wrapText="false" indent="0" shrinkToFit="false"/>
      <protection locked="true" hidden="false"/>
    </xf>
    <xf numFmtId="185" fontId="0" fillId="0" borderId="0"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true" applyProtection="false">
      <alignment horizontal="general" vertical="bottom" textRotation="0" wrapText="true" indent="0" shrinkToFit="false"/>
      <protection locked="true" hidden="false"/>
    </xf>
    <xf numFmtId="180" fontId="0" fillId="8" borderId="0" xfId="0" applyFont="true" applyBorder="true" applyAlignment="false" applyProtection="false">
      <alignment horizontal="general" vertical="bottom" textRotation="0" wrapText="false" indent="0" shrinkToFit="false"/>
      <protection locked="true" hidden="false"/>
    </xf>
    <xf numFmtId="185" fontId="0" fillId="8" borderId="0" xfId="0" applyFont="true" applyBorder="true" applyAlignment="false" applyProtection="false">
      <alignment horizontal="general" vertical="bottom" textRotation="0" wrapText="false" indent="0" shrinkToFit="false"/>
      <protection locked="true" hidden="false"/>
    </xf>
    <xf numFmtId="164" fontId="0" fillId="17" borderId="25" xfId="0" applyFont="true" applyBorder="true" applyAlignment="false" applyProtection="false">
      <alignment horizontal="general" vertical="bottom" textRotation="0" wrapText="false" indent="0" shrinkToFit="false"/>
      <protection locked="true" hidden="false"/>
    </xf>
    <xf numFmtId="171" fontId="0" fillId="8" borderId="45" xfId="0" applyFont="true" applyBorder="true" applyAlignment="false" applyProtection="false">
      <alignment horizontal="general" vertical="bottom" textRotation="0" wrapText="false" indent="0" shrinkToFit="false"/>
      <protection locked="true" hidden="false"/>
    </xf>
    <xf numFmtId="184" fontId="17" fillId="8" borderId="0" xfId="15" applyFont="true" applyBorder="true" applyAlignment="true" applyProtection="true">
      <alignment horizontal="general" vertical="bottom" textRotation="0" wrapText="false" indent="0" shrinkToFit="false"/>
      <protection locked="true" hidden="false"/>
    </xf>
    <xf numFmtId="164" fontId="0" fillId="18" borderId="20" xfId="0" applyFont="true" applyBorder="true" applyAlignment="false" applyProtection="false">
      <alignment horizontal="general" vertical="bottom" textRotation="0" wrapText="false" indent="0" shrinkToFit="false"/>
      <protection locked="true" hidden="false"/>
    </xf>
    <xf numFmtId="185" fontId="19" fillId="18" borderId="31" xfId="0" applyFont="true" applyBorder="true" applyAlignment="false" applyProtection="false">
      <alignment horizontal="general" vertical="bottom" textRotation="0" wrapText="false" indent="0" shrinkToFit="false"/>
      <protection locked="true" hidden="false"/>
    </xf>
    <xf numFmtId="164" fontId="0" fillId="0" borderId="48" xfId="0" applyFont="true" applyBorder="true" applyAlignment="true" applyProtection="false">
      <alignment horizontal="general" vertical="bottom" textRotation="0" wrapText="true" indent="0" shrinkToFit="false"/>
      <protection locked="true" hidden="false"/>
    </xf>
    <xf numFmtId="172" fontId="0" fillId="8" borderId="0" xfId="0" applyFont="true" applyBorder="true" applyAlignment="false" applyProtection="false">
      <alignment horizontal="general" vertical="bottom" textRotation="0" wrapText="false" indent="0" shrinkToFit="false"/>
      <protection locked="true" hidden="false"/>
    </xf>
    <xf numFmtId="164" fontId="0" fillId="17" borderId="0" xfId="0" applyFont="true" applyBorder="true" applyAlignment="false" applyProtection="false">
      <alignment horizontal="general" vertical="bottom" textRotation="0" wrapText="false" indent="0" shrinkToFit="false"/>
      <protection locked="true" hidden="false"/>
    </xf>
    <xf numFmtId="164" fontId="0" fillId="17" borderId="12" xfId="0" applyFont="true" applyBorder="true" applyAlignment="true" applyProtection="false">
      <alignment horizontal="general" vertical="bottom" textRotation="0" wrapText="true" indent="0" shrinkToFit="false"/>
      <protection locked="true" hidden="false"/>
    </xf>
    <xf numFmtId="171" fontId="0" fillId="0" borderId="0" xfId="0" applyFont="true" applyBorder="true" applyAlignment="false" applyProtection="false">
      <alignment horizontal="general" vertical="bottom" textRotation="0" wrapText="false" indent="0" shrinkToFit="false"/>
      <protection locked="true" hidden="false"/>
    </xf>
    <xf numFmtId="189" fontId="0" fillId="17" borderId="0" xfId="0" applyFont="true" applyBorder="true" applyAlignment="false" applyProtection="false">
      <alignment horizontal="general" vertical="bottom" textRotation="0" wrapText="false" indent="0" shrinkToFit="false"/>
      <protection locked="true" hidden="false"/>
    </xf>
    <xf numFmtId="164" fontId="0" fillId="17" borderId="0" xfId="0" applyFont="true" applyBorder="true" applyAlignment="true" applyProtection="false">
      <alignment horizontal="left" vertical="top" textRotation="0" wrapText="true" indent="0" shrinkToFit="false"/>
      <protection locked="true" hidden="false"/>
    </xf>
    <xf numFmtId="164" fontId="0" fillId="17" borderId="12" xfId="0" applyFont="true" applyBorder="true" applyAlignment="true" applyProtection="false">
      <alignment horizontal="left" vertical="top" textRotation="0" wrapText="true" indent="0" shrinkToFit="false"/>
      <protection locked="true" hidden="false"/>
    </xf>
    <xf numFmtId="171" fontId="18" fillId="17" borderId="0" xfId="0" applyFont="true" applyBorder="true" applyAlignment="false" applyProtection="false">
      <alignment horizontal="general" vertical="bottom" textRotation="0" wrapText="false" indent="0" shrinkToFit="false"/>
      <protection locked="true" hidden="false"/>
    </xf>
    <xf numFmtId="164" fontId="15" fillId="17" borderId="6" xfId="0" applyFont="true" applyBorder="true" applyAlignment="true" applyProtection="false">
      <alignment horizontal="right" vertical="bottom" textRotation="0" wrapText="false" indent="0" shrinkToFit="false"/>
      <protection locked="true" hidden="false"/>
    </xf>
    <xf numFmtId="171" fontId="15" fillId="17" borderId="0" xfId="0" applyFont="true" applyBorder="true" applyAlignment="false" applyProtection="false">
      <alignment horizontal="general" vertical="bottom" textRotation="0" wrapText="false" indent="0" shrinkToFit="false"/>
      <protection locked="true" hidden="false"/>
    </xf>
    <xf numFmtId="171" fontId="34" fillId="17" borderId="0" xfId="0" applyFont="true" applyBorder="true" applyAlignment="false" applyProtection="false">
      <alignment horizontal="general" vertical="bottom" textRotation="0" wrapText="false" indent="0" shrinkToFit="false"/>
      <protection locked="true" hidden="false"/>
    </xf>
    <xf numFmtId="164" fontId="15" fillId="17" borderId="20" xfId="0" applyFont="true" applyBorder="true" applyAlignment="true" applyProtection="false">
      <alignment horizontal="right" vertical="bottom" textRotation="0" wrapText="false" indent="0" shrinkToFit="false"/>
      <protection locked="true" hidden="false"/>
    </xf>
    <xf numFmtId="195" fontId="15" fillId="17" borderId="31" xfId="0" applyFont="true" applyBorder="true" applyAlignment="false" applyProtection="false">
      <alignment horizontal="general" vertical="bottom" textRotation="0" wrapText="false" indent="0" shrinkToFit="false"/>
      <protection locked="true" hidden="false"/>
    </xf>
    <xf numFmtId="164" fontId="0" fillId="0" borderId="21" xfId="0" applyFont="true" applyBorder="true" applyAlignment="false" applyProtection="false">
      <alignment horizontal="general" vertical="bottom" textRotation="0" wrapText="false" indent="0" shrinkToFit="false"/>
      <protection locked="true" hidden="false"/>
    </xf>
    <xf numFmtId="164" fontId="0" fillId="18" borderId="11" xfId="0" applyFont="true" applyBorder="true" applyAlignment="false" applyProtection="false">
      <alignment horizontal="general" vertical="bottom" textRotation="0" wrapText="false" indent="0" shrinkToFit="false"/>
      <protection locked="true" hidden="false"/>
    </xf>
    <xf numFmtId="189" fontId="15" fillId="18" borderId="0" xfId="0" applyFont="true" applyBorder="true" applyAlignment="false" applyProtection="false">
      <alignment horizontal="general" vertical="bottom" textRotation="0" wrapText="false" indent="0" shrinkToFit="false"/>
      <protection locked="true" hidden="false"/>
    </xf>
    <xf numFmtId="189" fontId="0" fillId="17" borderId="7" xfId="0" applyFont="true" applyBorder="true" applyAlignment="false" applyProtection="false">
      <alignment horizontal="general" vertical="bottom" textRotation="0" wrapText="false" indent="0" shrinkToFit="false"/>
      <protection locked="true" hidden="false"/>
    </xf>
    <xf numFmtId="164" fontId="32" fillId="16" borderId="29" xfId="0" applyFont="true" applyBorder="true" applyAlignment="true" applyProtection="false">
      <alignment horizontal="center" vertical="center" textRotation="0" wrapText="false" indent="0" shrinkToFit="false"/>
      <protection locked="true" hidden="false"/>
    </xf>
    <xf numFmtId="164" fontId="35" fillId="16" borderId="49"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81" fontId="0" fillId="8" borderId="0" xfId="0" applyFont="true" applyBorder="true" applyAlignment="false" applyProtection="false">
      <alignment horizontal="general" vertical="bottom" textRotation="0" wrapText="false" indent="0" shrinkToFit="false"/>
      <protection locked="true" hidden="false"/>
    </xf>
    <xf numFmtId="180" fontId="0" fillId="0" borderId="0" xfId="0" applyFont="true" applyBorder="true" applyAlignment="false" applyProtection="false">
      <alignment horizontal="general" vertical="bottom" textRotation="0" wrapText="false" indent="0" shrinkToFit="false"/>
      <protection locked="true" hidden="false"/>
    </xf>
    <xf numFmtId="170" fontId="0" fillId="8" borderId="0" xfId="0" applyFont="true" applyBorder="true" applyAlignment="false" applyProtection="false">
      <alignment horizontal="general" vertical="bottom" textRotation="0" wrapText="false" indent="0" shrinkToFit="false"/>
      <protection locked="true" hidden="false"/>
    </xf>
    <xf numFmtId="184" fontId="17" fillId="17" borderId="0" xfId="15" applyFont="true" applyBorder="true" applyAlignment="true" applyProtection="true">
      <alignment horizontal="general" vertical="bottom" textRotation="0" wrapText="false" indent="0" shrinkToFit="false"/>
      <protection locked="true" hidden="false"/>
    </xf>
    <xf numFmtId="181" fontId="17" fillId="17" borderId="0" xfId="15" applyFont="true" applyBorder="true" applyAlignment="true" applyProtection="true">
      <alignment horizontal="general" vertical="bottom" textRotation="0" wrapText="false" indent="0" shrinkToFit="false"/>
      <protection locked="true" hidden="false"/>
    </xf>
    <xf numFmtId="171" fontId="15" fillId="18" borderId="0" xfId="0" applyFont="true" applyBorder="true" applyAlignment="false" applyProtection="false">
      <alignment horizontal="general" vertical="bottom" textRotation="0" wrapText="false" indent="0" shrinkToFit="false"/>
      <protection locked="true" hidden="false"/>
    </xf>
    <xf numFmtId="164" fontId="0" fillId="17" borderId="15" xfId="0" applyFont="true" applyBorder="true" applyAlignment="false" applyProtection="false">
      <alignment horizontal="general" vertical="bottom" textRotation="0" wrapText="false" indent="0" shrinkToFit="false"/>
      <protection locked="true" hidden="false"/>
    </xf>
    <xf numFmtId="189" fontId="0" fillId="17" borderId="41" xfId="0" applyFont="true" applyBorder="true" applyAlignment="false" applyProtection="false">
      <alignment horizontal="general" vertical="bottom" textRotation="0" wrapText="false" indent="0" shrinkToFit="false"/>
      <protection locked="true" hidden="false"/>
    </xf>
    <xf numFmtId="189" fontId="0" fillId="17" borderId="42" xfId="0" applyFont="true" applyBorder="true" applyAlignment="false" applyProtection="false">
      <alignment horizontal="general" vertical="bottom" textRotation="0" wrapText="false" indent="0" shrinkToFit="false"/>
      <protection locked="true" hidden="false"/>
    </xf>
    <xf numFmtId="164" fontId="0" fillId="17" borderId="41" xfId="0" applyFont="true" applyBorder="true" applyAlignment="false" applyProtection="false">
      <alignment horizontal="general" vertical="bottom" textRotation="0" wrapText="false" indent="0" shrinkToFit="false"/>
      <protection locked="true" hidden="false"/>
    </xf>
    <xf numFmtId="164" fontId="0" fillId="17" borderId="16"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77" fontId="0" fillId="0" borderId="0" xfId="0" applyFont="true" applyBorder="false" applyAlignment="true" applyProtection="false">
      <alignment horizontal="general" vertical="top" textRotation="0" wrapText="false" indent="0" shrinkToFit="false"/>
      <protection locked="true" hidden="false"/>
    </xf>
    <xf numFmtId="177" fontId="0" fillId="0" borderId="0" xfId="0" applyFont="true" applyBorder="false" applyAlignment="true" applyProtection="false">
      <alignment horizontal="left" vertical="top" textRotation="0" wrapText="false" indent="0" shrinkToFit="false"/>
      <protection locked="true" hidden="false"/>
    </xf>
    <xf numFmtId="177" fontId="0" fillId="0" borderId="0" xfId="0" applyFont="true" applyBorder="false" applyAlignment="true" applyProtection="false">
      <alignment horizontal="general" vertical="top" textRotation="0" wrapText="true" indent="0" shrinkToFit="false"/>
      <protection locked="true" hidden="false"/>
    </xf>
    <xf numFmtId="164" fontId="19" fillId="16" borderId="0" xfId="0" applyFont="true" applyBorder="false" applyAlignment="true" applyProtection="false">
      <alignment horizontal="center" vertical="center" textRotation="0" wrapText="false" indent="0" shrinkToFit="false"/>
      <protection locked="true" hidden="false"/>
    </xf>
    <xf numFmtId="164" fontId="19" fillId="16" borderId="0" xfId="0" applyFont="true" applyBorder="false" applyAlignment="true" applyProtection="false">
      <alignment horizontal="center" vertical="center" textRotation="0" wrapText="true" indent="0" shrinkToFit="false"/>
      <protection locked="true" hidden="false"/>
    </xf>
    <xf numFmtId="177" fontId="19" fillId="16" borderId="0" xfId="0" applyFont="true" applyBorder="false" applyAlignment="true" applyProtection="false">
      <alignment horizontal="center" vertical="center" textRotation="0" wrapText="false" indent="0" shrinkToFit="false"/>
      <protection locked="true" hidden="false"/>
    </xf>
    <xf numFmtId="177" fontId="19" fillId="16" borderId="0" xfId="0" applyFont="true" applyBorder="fals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top" textRotation="0" wrapText="true" indent="0" shrinkToFit="false"/>
      <protection locked="true" hidden="false"/>
    </xf>
    <xf numFmtId="164" fontId="17" fillId="0" borderId="0" xfId="0" applyFont="true" applyBorder="false" applyAlignment="true" applyProtection="false">
      <alignment horizontal="general" vertical="top" textRotation="0" wrapText="false" indent="0" shrinkToFit="false"/>
      <protection locked="true" hidden="false"/>
    </xf>
    <xf numFmtId="177" fontId="17" fillId="0" borderId="0" xfId="0" applyFont="true" applyBorder="false" applyAlignment="true" applyProtection="false">
      <alignment horizontal="left" vertical="top" textRotation="0" wrapText="false" indent="0" shrinkToFit="false"/>
      <protection locked="true" hidden="false"/>
    </xf>
    <xf numFmtId="177" fontId="17" fillId="0" borderId="0" xfId="0" applyFont="true" applyBorder="false" applyAlignment="true" applyProtection="false">
      <alignment horizontal="general" vertical="top" textRotation="0" wrapText="true" indent="0" shrinkToFit="false"/>
      <protection locked="true" hidden="false"/>
    </xf>
    <xf numFmtId="164" fontId="17" fillId="0" borderId="0" xfId="0" applyFont="true" applyBorder="fals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77" fontId="0" fillId="0" borderId="0" xfId="0" applyFont="true" applyBorder="false" applyAlignment="true" applyProtection="false">
      <alignment horizontal="left" vertical="top" textRotation="0" wrapText="true" indent="0" shrinkToFit="false"/>
      <protection locked="true" hidden="false"/>
    </xf>
    <xf numFmtId="164" fontId="17" fillId="0" borderId="0" xfId="0" applyFont="true" applyBorder="false" applyAlignment="true" applyProtection="false">
      <alignment horizontal="left" vertical="top" textRotation="0" wrapText="true" indent="0" shrinkToFit="false"/>
      <protection locked="true" hidden="false"/>
    </xf>
    <xf numFmtId="164" fontId="23" fillId="16" borderId="0" xfId="0" applyFont="true" applyBorder="true" applyAlignment="true" applyProtection="false">
      <alignment horizontal="center" vertical="center" textRotation="0" wrapText="true" indent="0" shrinkToFit="false"/>
      <protection locked="true" hidden="false"/>
    </xf>
    <xf numFmtId="164" fontId="23" fillId="16" borderId="9" xfId="0" applyFont="true" applyBorder="true" applyAlignment="true" applyProtection="false">
      <alignment horizontal="center" vertical="center" textRotation="0" wrapText="true" indent="0" shrinkToFit="false"/>
      <protection locked="true" hidden="false"/>
    </xf>
    <xf numFmtId="164" fontId="23" fillId="16" borderId="2" xfId="0" applyFont="true" applyBorder="true" applyAlignment="true" applyProtection="false">
      <alignment horizontal="center" vertical="center" textRotation="0" wrapText="true" indent="0" shrinkToFit="false"/>
      <protection locked="true" hidden="false"/>
    </xf>
    <xf numFmtId="164" fontId="36" fillId="16" borderId="9" xfId="20" applyFont="true" applyBorder="true" applyAlignment="true" applyProtection="true">
      <alignment horizontal="center" vertical="center" textRotation="0" wrapText="true" indent="0" shrinkToFit="false"/>
      <protection locked="true" hidden="false"/>
    </xf>
    <xf numFmtId="170" fontId="0" fillId="17" borderId="0" xfId="0" applyFont="false" applyBorder="false" applyAlignment="true" applyProtection="false">
      <alignment horizontal="general" vertical="center" textRotation="0" wrapText="true" indent="0" shrinkToFit="false"/>
      <protection locked="true" hidden="false"/>
    </xf>
    <xf numFmtId="183" fontId="0" fillId="17" borderId="6" xfId="0" applyFont="false" applyBorder="true" applyAlignment="true" applyProtection="false">
      <alignment horizontal="general" vertical="center" textRotation="0" wrapText="true" indent="0" shrinkToFit="false"/>
      <protection locked="true" hidden="false"/>
    </xf>
    <xf numFmtId="181" fontId="0" fillId="17" borderId="0" xfId="0" applyFont="false" applyBorder="true" applyAlignment="true" applyProtection="false">
      <alignment horizontal="general" vertical="center" textRotation="0" wrapText="true" indent="0" shrinkToFit="false"/>
      <protection locked="true" hidden="false"/>
    </xf>
    <xf numFmtId="181" fontId="0" fillId="17" borderId="7" xfId="0" applyFont="false" applyBorder="true" applyAlignment="true" applyProtection="false">
      <alignment horizontal="general" vertical="center" textRotation="0" wrapText="true" indent="0" shrinkToFit="false"/>
      <protection locked="true" hidden="false"/>
    </xf>
    <xf numFmtId="171" fontId="0" fillId="17" borderId="6" xfId="0" applyFont="false" applyBorder="true" applyAlignment="true" applyProtection="false">
      <alignment horizontal="general" vertical="center" textRotation="0" wrapText="true" indent="0" shrinkToFit="false"/>
      <protection locked="true" hidden="false"/>
    </xf>
    <xf numFmtId="171" fontId="0" fillId="17" borderId="7" xfId="0" applyFont="false" applyBorder="true" applyAlignment="true" applyProtection="false">
      <alignment horizontal="general" vertical="center" textRotation="0" wrapText="true" indent="0" shrinkToFit="false"/>
      <protection locked="true" hidden="false"/>
    </xf>
    <xf numFmtId="189" fontId="0" fillId="17" borderId="6" xfId="0" applyFont="false" applyBorder="true" applyAlignment="true" applyProtection="false">
      <alignment horizontal="general" vertical="center" textRotation="0" wrapText="true" indent="0" shrinkToFit="false"/>
      <protection locked="true" hidden="false"/>
    </xf>
    <xf numFmtId="196" fontId="0" fillId="17" borderId="0" xfId="0" applyFont="false" applyBorder="true" applyAlignment="true" applyProtection="false">
      <alignment horizontal="general" vertical="center" textRotation="0" wrapText="true" indent="0" shrinkToFit="false"/>
      <protection locked="true" hidden="false"/>
    </xf>
    <xf numFmtId="189" fontId="0" fillId="17" borderId="7" xfId="0" applyFont="false" applyBorder="true" applyAlignment="true" applyProtection="false">
      <alignment horizontal="general" vertical="center" textRotation="0" wrapText="true" indent="0" shrinkToFit="false"/>
      <protection locked="true" hidden="false"/>
    </xf>
    <xf numFmtId="181" fontId="0" fillId="17" borderId="6" xfId="0" applyFont="false" applyBorder="true" applyAlignment="true" applyProtection="false">
      <alignment horizontal="general" vertical="center" textRotation="0" wrapText="true" indent="0" shrinkToFit="false"/>
      <protection locked="true" hidden="false"/>
    </xf>
    <xf numFmtId="170" fontId="0" fillId="17" borderId="50" xfId="0" applyFont="false" applyBorder="true" applyAlignment="true" applyProtection="false">
      <alignment horizontal="general" vertical="center" textRotation="0" wrapText="true" indent="0" shrinkToFit="false"/>
      <protection locked="true" hidden="false"/>
    </xf>
    <xf numFmtId="170" fontId="0" fillId="0" borderId="0" xfId="0" applyFont="false" applyBorder="false" applyAlignment="true" applyProtection="false">
      <alignment horizontal="general" vertical="center" textRotation="0" wrapText="true" indent="0" shrinkToFit="false"/>
      <protection locked="true" hidden="false"/>
    </xf>
    <xf numFmtId="181" fontId="0" fillId="0" borderId="0" xfId="0" applyFont="false" applyBorder="true" applyAlignment="true" applyProtection="false">
      <alignment horizontal="general" vertical="center" textRotation="0" wrapText="true" indent="0" shrinkToFit="false"/>
      <protection locked="true" hidden="false"/>
    </xf>
    <xf numFmtId="171" fontId="0" fillId="0" borderId="6" xfId="0" applyFont="false" applyBorder="true" applyAlignment="true" applyProtection="false">
      <alignment horizontal="general" vertical="center" textRotation="0" wrapText="true" indent="0" shrinkToFit="false"/>
      <protection locked="true" hidden="false"/>
    </xf>
    <xf numFmtId="189" fontId="0" fillId="0" borderId="6" xfId="0" applyFont="false" applyBorder="true" applyAlignment="true" applyProtection="false">
      <alignment horizontal="general" vertical="center" textRotation="0" wrapText="true" indent="0" shrinkToFit="false"/>
      <protection locked="true" hidden="false"/>
    </xf>
    <xf numFmtId="189" fontId="0" fillId="0" borderId="7" xfId="0" applyFont="false" applyBorder="true" applyAlignment="true" applyProtection="false">
      <alignment horizontal="general" vertical="center" textRotation="0" wrapText="true" indent="0" shrinkToFit="false"/>
      <protection locked="true" hidden="false"/>
    </xf>
    <xf numFmtId="170" fontId="0" fillId="0" borderId="50" xfId="0" applyFont="false" applyBorder="true" applyAlignment="true" applyProtection="false">
      <alignment horizontal="general" vertical="center" textRotation="0" wrapText="true" indent="0" shrinkToFit="false"/>
      <protection locked="true" hidden="false"/>
    </xf>
    <xf numFmtId="183" fontId="21" fillId="17" borderId="6" xfId="0" applyFont="true" applyBorder="true" applyAlignment="true" applyProtection="false">
      <alignment horizontal="general" vertical="center" textRotation="0" wrapText="true" indent="0" shrinkToFit="false"/>
      <protection locked="true" hidden="false"/>
    </xf>
    <xf numFmtId="181" fontId="21" fillId="17" borderId="0" xfId="0" applyFont="true" applyBorder="true" applyAlignment="true" applyProtection="false">
      <alignment horizontal="general" vertical="center" textRotation="0" wrapText="true" indent="0" shrinkToFit="false"/>
      <protection locked="true" hidden="false"/>
    </xf>
    <xf numFmtId="181" fontId="21" fillId="17" borderId="7" xfId="0" applyFont="true" applyBorder="true" applyAlignment="true" applyProtection="false">
      <alignment horizontal="general" vertical="center" textRotation="0" wrapText="true" indent="0" shrinkToFit="false"/>
      <protection locked="true" hidden="false"/>
    </xf>
    <xf numFmtId="164" fontId="0" fillId="17" borderId="0" xfId="0" applyFont="false" applyBorder="false" applyAlignment="false" applyProtection="false">
      <alignment horizontal="general" vertical="bottom" textRotation="0" wrapText="false" indent="0" shrinkToFit="false"/>
      <protection locked="true" hidden="false"/>
    </xf>
    <xf numFmtId="183" fontId="0" fillId="17" borderId="20" xfId="0" applyFont="false" applyBorder="true" applyAlignment="true" applyProtection="false">
      <alignment horizontal="general" vertical="center" textRotation="0" wrapText="true" indent="0" shrinkToFit="false"/>
      <protection locked="true" hidden="false"/>
    </xf>
    <xf numFmtId="181" fontId="0" fillId="0" borderId="31" xfId="0" applyFont="false" applyBorder="true" applyAlignment="true" applyProtection="false">
      <alignment horizontal="general" vertical="center" textRotation="0" wrapText="true" indent="0" shrinkToFit="false"/>
      <protection locked="true" hidden="false"/>
    </xf>
    <xf numFmtId="181" fontId="0" fillId="17" borderId="21" xfId="0" applyFont="false" applyBorder="true" applyAlignment="true" applyProtection="false">
      <alignment horizontal="general" vertical="center" textRotation="0" wrapText="true" indent="0" shrinkToFit="false"/>
      <protection locked="true" hidden="false"/>
    </xf>
    <xf numFmtId="171" fontId="0" fillId="0" borderId="20" xfId="0" applyFont="false" applyBorder="true" applyAlignment="true" applyProtection="false">
      <alignment horizontal="general" vertical="center" textRotation="0" wrapText="true" indent="0" shrinkToFit="false"/>
      <protection locked="true" hidden="false"/>
    </xf>
    <xf numFmtId="171" fontId="0" fillId="17" borderId="21" xfId="0" applyFont="false" applyBorder="true" applyAlignment="true" applyProtection="false">
      <alignment horizontal="general" vertical="center" textRotation="0" wrapText="true" indent="0" shrinkToFit="false"/>
      <protection locked="true" hidden="false"/>
    </xf>
    <xf numFmtId="189" fontId="0" fillId="0" borderId="20" xfId="0" applyFont="false" applyBorder="true" applyAlignment="true" applyProtection="false">
      <alignment horizontal="general" vertical="center" textRotation="0" wrapText="true" indent="0" shrinkToFit="false"/>
      <protection locked="true" hidden="false"/>
    </xf>
    <xf numFmtId="196" fontId="0" fillId="17" borderId="31" xfId="0" applyFont="false" applyBorder="true" applyAlignment="true" applyProtection="false">
      <alignment horizontal="general" vertical="center" textRotation="0" wrapText="true" indent="0" shrinkToFit="false"/>
      <protection locked="true" hidden="false"/>
    </xf>
    <xf numFmtId="189" fontId="0" fillId="0" borderId="21" xfId="0" applyFont="false" applyBorder="true" applyAlignment="true" applyProtection="false">
      <alignment horizontal="general" vertical="center" textRotation="0" wrapText="true" indent="0" shrinkToFit="false"/>
      <protection locked="true" hidden="false"/>
    </xf>
    <xf numFmtId="181" fontId="0" fillId="17" borderId="20" xfId="0" applyFont="false" applyBorder="true" applyAlignment="true" applyProtection="false">
      <alignment horizontal="general" vertical="center" textRotation="0" wrapText="true" indent="0" shrinkToFit="false"/>
      <protection locked="true" hidden="false"/>
    </xf>
    <xf numFmtId="170" fontId="0" fillId="0" borderId="51" xfId="0" applyFont="false" applyBorder="true" applyAlignment="true" applyProtection="false">
      <alignment horizontal="general" vertical="center" textRotation="0" wrapText="tru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1" builtinId="53" customBuiltin="true"/>
    <cellStyle name="Heading 1" xfId="22" builtinId="53" customBuiltin="true"/>
    <cellStyle name="Heading 2" xfId="23" builtinId="53" customBuiltin="true"/>
    <cellStyle name="Text" xfId="24" builtinId="53" customBuiltin="true"/>
    <cellStyle name="Note" xfId="25" builtinId="53" customBuiltin="true"/>
    <cellStyle name="Footnote" xfId="26" builtinId="53" customBuiltin="true"/>
    <cellStyle name="Hyperlink" xfId="27" builtinId="53" customBuiltin="true"/>
    <cellStyle name="Status" xfId="28" builtinId="53" customBuiltin="true"/>
    <cellStyle name="Good" xfId="29" builtinId="53" customBuiltin="true"/>
    <cellStyle name="Neutral" xfId="30" builtinId="53" customBuiltin="true"/>
    <cellStyle name="Bad" xfId="31" builtinId="53" customBuiltin="true"/>
    <cellStyle name="Warning" xfId="32" builtinId="53" customBuiltin="true"/>
    <cellStyle name="Error" xfId="33" builtinId="53" customBuiltin="true"/>
    <cellStyle name="Accent" xfId="34" builtinId="53" customBuiltin="true"/>
    <cellStyle name="Accent 1" xfId="35" builtinId="53" customBuiltin="true"/>
    <cellStyle name="Accent 2" xfId="36" builtinId="53" customBuiltin="true"/>
    <cellStyle name="Accent 3" xfId="37" builtinId="53" customBuiltin="true"/>
    <cellStyle name="*unknown*" xfId="20" builtinId="8" customBuiltin="fals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BFBFBF"/>
      <rgbColor rgb="FF808080"/>
      <rgbColor rgb="FF5E8AC7"/>
      <rgbColor rgb="FFC0504D"/>
      <rgbColor rgb="FFFFFFCC"/>
      <rgbColor rgb="FFF2F2F2"/>
      <rgbColor rgb="FF660066"/>
      <rgbColor rgb="FFFF8080"/>
      <rgbColor rgb="FF0066CC"/>
      <rgbColor rgb="FFD9D9D9"/>
      <rgbColor rgb="FF000080"/>
      <rgbColor rgb="FFFF00FF"/>
      <rgbColor rgb="FFFFF200"/>
      <rgbColor rgb="FF00FFFF"/>
      <rgbColor rgb="FF800080"/>
      <rgbColor rgb="FF800000"/>
      <rgbColor rgb="FF008080"/>
      <rgbColor rgb="FF0000EE"/>
      <rgbColor rgb="FF87D1D1"/>
      <rgbColor rgb="FFDDDDDD"/>
      <rgbColor rgb="FFCCFFCC"/>
      <rgbColor rgb="FFFFFF99"/>
      <rgbColor rgb="FFADC5E7"/>
      <rgbColor rgb="FFFFCCCC"/>
      <rgbColor rgb="FFC4BD97"/>
      <rgbColor rgb="FFFAC090"/>
      <rgbColor rgb="FF4F81BD"/>
      <rgbColor rgb="FF65C295"/>
      <rgbColor rgb="FF92D050"/>
      <rgbColor rgb="FFFFD320"/>
      <rgbColor rgb="FFFF9900"/>
      <rgbColor rgb="FFFF6600"/>
      <rgbColor rgb="FF595959"/>
      <rgbColor rgb="FF8F93C7"/>
      <rgbColor rgb="FF003366"/>
      <rgbColor rgb="FF89C765"/>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400" spc="-1" strike="noStrike">
                <a:solidFill>
                  <a:srgbClr val="595959"/>
                </a:solidFill>
                <a:latin typeface="Calibri"/>
              </a:defRPr>
            </a:pPr>
            <a:r>
              <a:rPr b="0" sz="1400" spc="-1" strike="noStrike">
                <a:solidFill>
                  <a:srgbClr val="595959"/>
                </a:solidFill>
                <a:latin typeface="Calibri"/>
              </a:rPr>
              <a:t>Gain Bode Plots</a:t>
            </a:r>
          </a:p>
        </c:rich>
      </c:tx>
      <c:overlay val="0"/>
      <c:spPr>
        <a:noFill/>
        <a:ln>
          <a:noFill/>
        </a:ln>
      </c:spPr>
    </c:title>
    <c:autoTitleDeleted val="0"/>
    <c:plotArea>
      <c:scatterChart>
        <c:scatterStyle val="lineMarker"/>
        <c:varyColors val="0"/>
        <c:ser>
          <c:idx val="0"/>
          <c:order val="0"/>
          <c:tx>
            <c:strRef>
              <c:f>"Power Stage"</c:f>
              <c:strCache>
                <c:ptCount val="1"/>
                <c:pt idx="0">
                  <c:v>Power Stage</c:v>
                </c:pt>
              </c:strCache>
            </c:strRef>
          </c:tx>
          <c:spPr>
            <a:solidFill>
              <a:srgbClr val="4f81bd"/>
            </a:solidFill>
            <a:ln w="19080">
              <a:solidFill>
                <a:srgbClr val="4f81bd"/>
              </a:solidFill>
              <a:round/>
            </a:ln>
          </c:spPr>
          <c:marker>
            <c:symbol val="circle"/>
            <c:size val="5"/>
            <c:spPr>
              <a:solidFill>
                <a:srgbClr val="4f81bd"/>
              </a:solidFill>
            </c:spPr>
          </c:marker>
          <c:dLbls>
            <c:numFmt formatCode="General" sourceLinked="1"/>
            <c:dLblPos val="r"/>
            <c:showLegendKey val="0"/>
            <c:showVal val="0"/>
            <c:showCatName val="0"/>
            <c:showSerName val="0"/>
            <c:showPercent val="0"/>
            <c:showLeaderLines val="0"/>
          </c:dLbls>
          <c:xVal>
            <c:numRef>
              <c:f>loop!$B$38:$B$44</c:f>
              <c:numCache>
                <c:formatCode>General</c:formatCode>
                <c:ptCount val="7"/>
                <c:pt idx="0">
                  <c:v>1</c:v>
                </c:pt>
                <c:pt idx="1">
                  <c:v>1000</c:v>
                </c:pt>
                <c:pt idx="2">
                  <c:v>4071.70853182295</c:v>
                </c:pt>
                <c:pt idx="3">
                  <c:v>9999.98637969314</c:v>
                </c:pt>
                <c:pt idx="4">
                  <c:v>17559.8215547182</c:v>
                </c:pt>
                <c:pt idx="5">
                  <c:v>27806.789973425</c:v>
                </c:pt>
                <c:pt idx="6">
                  <c:v>150000</c:v>
                </c:pt>
              </c:numCache>
            </c:numRef>
          </c:xVal>
          <c:yVal>
            <c:numRef>
              <c:f>loop!$C$38:$C$44</c:f>
              <c:numCache>
                <c:formatCode>General</c:formatCode>
                <c:ptCount val="7"/>
                <c:pt idx="0">
                  <c:v>83.006246540652</c:v>
                </c:pt>
                <c:pt idx="1">
                  <c:v>23.006246540652</c:v>
                </c:pt>
                <c:pt idx="2">
                  <c:v>10.8107129004015</c:v>
                </c:pt>
                <c:pt idx="3">
                  <c:v>3.00625837110825</c:v>
                </c:pt>
                <c:pt idx="4">
                  <c:v>-1.88415542401281</c:v>
                </c:pt>
                <c:pt idx="5">
                  <c:v>-5.87677059204817</c:v>
                </c:pt>
                <c:pt idx="6">
                  <c:v>-20.5155786404617</c:v>
                </c:pt>
              </c:numCache>
            </c:numRef>
          </c:yVal>
          <c:smooth val="0"/>
        </c:ser>
        <c:ser>
          <c:idx val="1"/>
          <c:order val="1"/>
          <c:tx>
            <c:strRef>
              <c:f>"Loop"</c:f>
              <c:strCache>
                <c:ptCount val="1"/>
                <c:pt idx="0">
                  <c:v>Loop</c:v>
                </c:pt>
              </c:strCache>
            </c:strRef>
          </c:tx>
          <c:spPr>
            <a:solidFill>
              <a:srgbClr val="ffd320"/>
            </a:solidFill>
            <a:ln w="28800">
              <a:solidFill>
                <a:srgbClr val="ffd320"/>
              </a:solidFill>
              <a:round/>
            </a:ln>
          </c:spPr>
          <c:marker>
            <c:symbol val="triangle"/>
            <c:size val="8"/>
            <c:spPr>
              <a:solidFill>
                <a:srgbClr val="ffd320"/>
              </a:solidFill>
            </c:spPr>
          </c:marker>
          <c:dLbls>
            <c:numFmt formatCode="General" sourceLinked="1"/>
            <c:showLegendKey val="0"/>
            <c:showVal val="0"/>
            <c:showCatName val="0"/>
            <c:showSerName val="0"/>
            <c:showPercent val="0"/>
            <c:showLeaderLines val="0"/>
          </c:dLbls>
          <c:xVal>
            <c:numRef>
              <c:f>loop!$B$38:$B$44</c:f>
              <c:numCache>
                <c:formatCode>General</c:formatCode>
                <c:ptCount val="7"/>
                <c:pt idx="0">
                  <c:v>1</c:v>
                </c:pt>
                <c:pt idx="1">
                  <c:v>1000</c:v>
                </c:pt>
                <c:pt idx="2">
                  <c:v>4071.70853182295</c:v>
                </c:pt>
                <c:pt idx="3">
                  <c:v>9999.98637969314</c:v>
                </c:pt>
                <c:pt idx="4">
                  <c:v>17559.8215547182</c:v>
                </c:pt>
                <c:pt idx="5">
                  <c:v>27806.789973425</c:v>
                </c:pt>
                <c:pt idx="6">
                  <c:v>150000</c:v>
                </c:pt>
              </c:numCache>
            </c:numRef>
          </c:xVal>
          <c:yVal>
            <c:numRef>
              <c:f>loop!$E$38:$E$44</c:f>
              <c:numCache>
                <c:formatCode>General</c:formatCode>
                <c:ptCount val="7"/>
                <c:pt idx="0">
                  <c:v>152.078888633366</c:v>
                </c:pt>
                <c:pt idx="1">
                  <c:v>32.0788886333657</c:v>
                </c:pt>
                <c:pt idx="2">
                  <c:v>7.68782135286473</c:v>
                </c:pt>
                <c:pt idx="3">
                  <c:v>-0.11663317642852</c:v>
                </c:pt>
                <c:pt idx="4">
                  <c:v>-5.00704697154958</c:v>
                </c:pt>
                <c:pt idx="5">
                  <c:v>-8.99966213958495</c:v>
                </c:pt>
                <c:pt idx="6">
                  <c:v>-38.2772782364119</c:v>
                </c:pt>
              </c:numCache>
            </c:numRef>
          </c:yVal>
          <c:smooth val="0"/>
        </c:ser>
        <c:ser>
          <c:idx val="2"/>
          <c:order val="2"/>
          <c:tx>
            <c:strRef>
              <c:f>"Error Amp"</c:f>
              <c:strCache>
                <c:ptCount val="1"/>
                <c:pt idx="0">
                  <c:v>Error Amp</c:v>
                </c:pt>
              </c:strCache>
            </c:strRef>
          </c:tx>
          <c:spPr>
            <a:solidFill>
              <a:srgbClr val="c0504d"/>
            </a:solidFill>
            <a:ln w="19080">
              <a:solidFill>
                <a:srgbClr val="c0504d"/>
              </a:solidFill>
              <a:round/>
            </a:ln>
          </c:spPr>
          <c:marker>
            <c:symbol val="circle"/>
            <c:size val="5"/>
            <c:spPr>
              <a:solidFill>
                <a:srgbClr val="c0504d"/>
              </a:solidFill>
            </c:spPr>
          </c:marker>
          <c:dLbls>
            <c:numFmt formatCode="0.000" sourceLinked="1"/>
            <c:dLblPos val="r"/>
            <c:showLegendKey val="0"/>
            <c:showVal val="0"/>
            <c:showCatName val="0"/>
            <c:showSerName val="0"/>
            <c:showPercent val="0"/>
            <c:showLeaderLines val="0"/>
          </c:dLbls>
          <c:xVal>
            <c:numRef>
              <c:f>loop!$B$38:$B$44</c:f>
              <c:numCache>
                <c:formatCode>General</c:formatCode>
                <c:ptCount val="7"/>
                <c:pt idx="0">
                  <c:v>1</c:v>
                </c:pt>
                <c:pt idx="1">
                  <c:v>1000</c:v>
                </c:pt>
                <c:pt idx="2">
                  <c:v>4071.70853182295</c:v>
                </c:pt>
                <c:pt idx="3">
                  <c:v>9999.98637969314</c:v>
                </c:pt>
                <c:pt idx="4">
                  <c:v>17559.8215547182</c:v>
                </c:pt>
                <c:pt idx="5">
                  <c:v>27806.789973425</c:v>
                </c:pt>
                <c:pt idx="6">
                  <c:v>150000</c:v>
                </c:pt>
              </c:numCache>
            </c:numRef>
          </c:xVal>
          <c:yVal>
            <c:numRef>
              <c:f>loop!$D$38:$D$44</c:f>
              <c:numCache>
                <c:formatCode>General</c:formatCode>
                <c:ptCount val="7"/>
                <c:pt idx="0">
                  <c:v>69.0726420927137</c:v>
                </c:pt>
                <c:pt idx="1">
                  <c:v>9.07264209271369</c:v>
                </c:pt>
                <c:pt idx="2">
                  <c:v>-3.12289154753677</c:v>
                </c:pt>
                <c:pt idx="3">
                  <c:v>-3.12289154753677</c:v>
                </c:pt>
                <c:pt idx="4">
                  <c:v>-3.12289154753677</c:v>
                </c:pt>
                <c:pt idx="5">
                  <c:v>-3.12289154753677</c:v>
                </c:pt>
                <c:pt idx="6">
                  <c:v>-17.7616995959503</c:v>
                </c:pt>
              </c:numCache>
            </c:numRef>
          </c:yVal>
          <c:smooth val="0"/>
        </c:ser>
        <c:axId val="93403073"/>
        <c:axId val="79354606"/>
      </c:scatterChart>
      <c:valAx>
        <c:axId val="93403073"/>
        <c:scaling>
          <c:logBase val="10"/>
          <c:orientation val="minMax"/>
          <c:max val="500000"/>
        </c:scaling>
        <c:delete val="0"/>
        <c:axPos val="b"/>
        <c:majorGridlines>
          <c:spPr>
            <a:ln w="9360">
              <a:solidFill>
                <a:srgbClr val="d9d9d9"/>
              </a:solidFill>
              <a:round/>
            </a:ln>
          </c:spPr>
        </c:majorGridlines>
        <c:minorGridlines>
          <c:spPr>
            <a:ln w="9360">
              <a:solidFill>
                <a:srgbClr val="f2f2f2"/>
              </a:solidFill>
              <a:round/>
            </a:ln>
          </c:spPr>
        </c:minorGridlines>
        <c:title>
          <c:tx>
            <c:rich>
              <a:bodyPr rot="0"/>
              <a:lstStyle/>
              <a:p>
                <a:pPr>
                  <a:defRPr b="0" sz="1000" spc="-1" strike="noStrike">
                    <a:solidFill>
                      <a:srgbClr val="595959"/>
                    </a:solidFill>
                    <a:latin typeface="Calibri"/>
                  </a:defRPr>
                </a:pPr>
                <a:r>
                  <a:rPr b="0" sz="1000" spc="-1" strike="noStrike">
                    <a:solidFill>
                      <a:srgbClr val="595959"/>
                    </a:solidFill>
                    <a:latin typeface="Calibri"/>
                  </a:rPr>
                  <a:t>Frequency, Hz</a:t>
                </a:r>
              </a:p>
            </c:rich>
          </c:tx>
          <c:overlay val="0"/>
          <c:spPr>
            <a:noFill/>
            <a:ln>
              <a:noFill/>
            </a:ln>
          </c:spPr>
        </c:title>
        <c:numFmt formatCode="#,##0" sourceLinked="0"/>
        <c:majorTickMark val="cross"/>
        <c:minorTickMark val="cross"/>
        <c:tickLblPos val="low"/>
        <c:spPr>
          <a:ln w="9360">
            <a:solidFill>
              <a:srgbClr val="bfbfbf"/>
            </a:solidFill>
            <a:round/>
          </a:ln>
        </c:spPr>
        <c:txPr>
          <a:bodyPr/>
          <a:lstStyle/>
          <a:p>
            <a:pPr>
              <a:defRPr b="0" sz="900" spc="-1" strike="noStrike">
                <a:solidFill>
                  <a:srgbClr val="595959"/>
                </a:solidFill>
                <a:latin typeface="Calibri"/>
              </a:defRPr>
            </a:pPr>
          </a:p>
        </c:txPr>
        <c:crossAx val="79354606"/>
        <c:crosses val="autoZero"/>
        <c:crossBetween val="midCat"/>
      </c:valAx>
      <c:valAx>
        <c:axId val="79354606"/>
        <c:scaling>
          <c:orientation val="minMax"/>
          <c:max val="60"/>
        </c:scaling>
        <c:delete val="0"/>
        <c:axPos val="l"/>
        <c:majorGridlines>
          <c:spPr>
            <a:ln w="9360">
              <a:solidFill>
                <a:srgbClr val="d9d9d9"/>
              </a:solidFill>
              <a:round/>
            </a:ln>
          </c:spPr>
        </c:majorGridlines>
        <c:minorGridlines>
          <c:spPr>
            <a:ln w="9360">
              <a:solidFill>
                <a:srgbClr val="f2f2f2"/>
              </a:solidFill>
              <a:round/>
            </a:ln>
          </c:spPr>
        </c:minorGridlines>
        <c:title>
          <c:tx>
            <c:rich>
              <a:bodyPr rot="-5400000"/>
              <a:lstStyle/>
              <a:p>
                <a:pPr>
                  <a:defRPr b="0" sz="1000" spc="-1" strike="noStrike">
                    <a:solidFill>
                      <a:srgbClr val="595959"/>
                    </a:solidFill>
                    <a:latin typeface="Calibri"/>
                  </a:defRPr>
                </a:pPr>
                <a:r>
                  <a:rPr b="0" sz="1000" spc="-1" strike="noStrike">
                    <a:solidFill>
                      <a:srgbClr val="595959"/>
                    </a:solidFill>
                    <a:latin typeface="Calibri"/>
                  </a:rPr>
                  <a:t>Gain, dB</a:t>
                </a:r>
              </a:p>
            </c:rich>
          </c:tx>
          <c:overlay val="0"/>
          <c:spPr>
            <a:noFill/>
            <a:ln>
              <a:noFill/>
            </a:ln>
          </c:spPr>
        </c:title>
        <c:numFmt formatCode="General" sourceLinked="0"/>
        <c:majorTickMark val="none"/>
        <c:minorTickMark val="none"/>
        <c:tickLblPos val="nextTo"/>
        <c:spPr>
          <a:ln w="9360">
            <a:solidFill>
              <a:srgbClr val="bfbfbf"/>
            </a:solidFill>
            <a:round/>
          </a:ln>
        </c:spPr>
        <c:txPr>
          <a:bodyPr/>
          <a:lstStyle/>
          <a:p>
            <a:pPr>
              <a:defRPr b="0" sz="900" spc="-1" strike="noStrike">
                <a:solidFill>
                  <a:srgbClr val="595959"/>
                </a:solidFill>
                <a:latin typeface="Calibri"/>
              </a:defRPr>
            </a:pPr>
          </a:p>
        </c:txPr>
        <c:crossAx val="93403073"/>
        <c:crosses val="autoZero"/>
        <c:crossBetween val="midCat"/>
      </c:valAx>
      <c:spPr>
        <a:noFill/>
        <a:ln>
          <a:noFill/>
        </a:ln>
      </c:spPr>
    </c:plotArea>
    <c:legend>
      <c:legendPos val="r"/>
      <c:overlay val="0"/>
      <c:spPr>
        <a:noFill/>
        <a:ln>
          <a:noFill/>
        </a:ln>
      </c:spPr>
      <c:txPr>
        <a:bodyPr/>
        <a:lstStyle/>
        <a:p>
          <a:pPr>
            <a:defRPr b="0" sz="9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t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140400</xdr:colOff>
      <xdr:row>2</xdr:row>
      <xdr:rowOff>67320</xdr:rowOff>
    </xdr:from>
    <xdr:to>
      <xdr:col>12</xdr:col>
      <xdr:colOff>100080</xdr:colOff>
      <xdr:row>35</xdr:row>
      <xdr:rowOff>67320</xdr:rowOff>
    </xdr:to>
    <xdr:graphicFrame>
      <xdr:nvGraphicFramePr>
        <xdr:cNvPr id="0" name="Chart 1"/>
        <xdr:cNvGraphicFramePr/>
      </xdr:nvGraphicFramePr>
      <xdr:xfrm>
        <a:off x="8078400" y="392400"/>
        <a:ext cx="7196040" cy="536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57240</xdr:colOff>
      <xdr:row>2</xdr:row>
      <xdr:rowOff>31680</xdr:rowOff>
    </xdr:from>
    <xdr:to>
      <xdr:col>4</xdr:col>
      <xdr:colOff>786240</xdr:colOff>
      <xdr:row>10</xdr:row>
      <xdr:rowOff>68760</xdr:rowOff>
    </xdr:to>
    <xdr:pic>
      <xdr:nvPicPr>
        <xdr:cNvPr id="1" name="Picture 4" descr=""/>
        <xdr:cNvPicPr/>
      </xdr:nvPicPr>
      <xdr:blipFill>
        <a:blip r:embed="rId2"/>
        <a:stretch/>
      </xdr:blipFill>
      <xdr:spPr>
        <a:xfrm>
          <a:off x="6162480" y="356760"/>
          <a:ext cx="1748880" cy="133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_rels/sheet8.xml.rels><?xml version="1.0" encoding="UTF-8"?>
<Relationships xmlns="http://schemas.openxmlformats.org/package/2006/relationships"><Relationship Id="rId1" Type="http://schemas.openxmlformats.org/officeDocument/2006/relationships/drawing" Target="../drawings/drawing2.x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hyperlink" Target="http://media.digikey.com/pdf/Data%20Sheets/CNC%20Tech%20PDFs/MW35C_Spec.pdf" TargetMode="External"/><Relationship Id="rId3" Type="http://schemas.openxmlformats.org/officeDocument/2006/relationships/hyperlink" Target="https://en.wikipedia.org/wiki/Circular_mil" TargetMode="Externa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97"/>
  <sheetViews>
    <sheetView showFormulas="false" showGridLines="true" showRowColHeaders="true" showZeros="true" rightToLeft="false" tabSelected="true" showOutlineSymbols="true" defaultGridColor="true" view="normal" topLeftCell="A1" colorId="64" zoomScale="74" zoomScaleNormal="74" zoomScalePageLayoutView="100" workbookViewId="0">
      <pane xSplit="4" ySplit="3" topLeftCell="E4" activePane="bottomRight" state="frozen"/>
      <selection pane="topLeft" activeCell="A1" activeCellId="0" sqref="A1"/>
      <selection pane="topRight" activeCell="E1" activeCellId="0" sqref="E1"/>
      <selection pane="bottomLeft" activeCell="A4" activeCellId="0" sqref="A4"/>
      <selection pane="bottomRight" activeCell="A4" activeCellId="0" sqref="A4"/>
    </sheetView>
  </sheetViews>
  <sheetFormatPr defaultRowHeight="12.8" zeroHeight="false" outlineLevelRow="0" outlineLevelCol="0"/>
  <cols>
    <col collapsed="false" customWidth="false" hidden="false" outlineLevel="0" max="1" min="1" style="0" width="11.52"/>
    <col collapsed="false" customWidth="true" hidden="false" outlineLevel="0" max="2" min="2" style="1" width="16.04"/>
    <col collapsed="false" customWidth="false" hidden="false" outlineLevel="0" max="3" min="3" style="0" width="11.52"/>
    <col collapsed="false" customWidth="true" hidden="false" outlineLevel="0" max="4" min="4" style="0" width="81.79"/>
    <col collapsed="false" customWidth="false" hidden="false" outlineLevel="0" max="5" min="5" style="0" width="11.52"/>
    <col collapsed="false" customWidth="true" hidden="false" outlineLevel="0" max="6" min="6" style="0" width="13.97"/>
    <col collapsed="false" customWidth="false" hidden="false" outlineLevel="0" max="7" min="7" style="2" width="11.52"/>
    <col collapsed="false" customWidth="true" hidden="false" outlineLevel="0" max="8" min="8" style="0" width="45.02"/>
    <col collapsed="false" customWidth="false" hidden="false" outlineLevel="0" max="1025" min="9" style="0" width="11.52"/>
  </cols>
  <sheetData>
    <row r="1" customFormat="false" ht="15" hidden="false" customHeight="false" outlineLevel="0" collapsed="false">
      <c r="A1" s="3" t="s">
        <v>0</v>
      </c>
      <c r="B1" s="3"/>
      <c r="C1" s="3"/>
      <c r="D1" s="3"/>
      <c r="E1" s="3"/>
      <c r="F1" s="3"/>
      <c r="G1" s="3"/>
      <c r="H1" s="3"/>
    </row>
    <row r="2" customFormat="false" ht="15" hidden="false" customHeight="false" outlineLevel="0" collapsed="false">
      <c r="A2" s="3" t="s">
        <v>1</v>
      </c>
      <c r="B2" s="3"/>
      <c r="C2" s="3"/>
      <c r="D2" s="3"/>
      <c r="E2" s="3" t="s">
        <v>2</v>
      </c>
      <c r="F2" s="3"/>
      <c r="G2" s="3"/>
      <c r="H2" s="3"/>
    </row>
    <row r="3" customFormat="false" ht="15" hidden="false" customHeight="false" outlineLevel="0" collapsed="false">
      <c r="A3" s="4" t="s">
        <v>3</v>
      </c>
      <c r="B3" s="4" t="s">
        <v>4</v>
      </c>
      <c r="C3" s="4" t="s">
        <v>5</v>
      </c>
      <c r="D3" s="4" t="s">
        <v>6</v>
      </c>
      <c r="E3" s="4" t="s">
        <v>5</v>
      </c>
      <c r="F3" s="4" t="s">
        <v>7</v>
      </c>
      <c r="G3" s="4" t="s">
        <v>8</v>
      </c>
      <c r="H3" s="5" t="s">
        <v>9</v>
      </c>
    </row>
    <row r="4" customFormat="false" ht="12.8" hidden="false" customHeight="false" outlineLevel="0" collapsed="false">
      <c r="A4" s="6" t="s">
        <v>10</v>
      </c>
      <c r="B4" s="7" t="s">
        <v>11</v>
      </c>
      <c r="C4" s="8" t="n">
        <v>10</v>
      </c>
    </row>
    <row r="5" customFormat="false" ht="12.8" hidden="false" customHeight="false" outlineLevel="0" collapsed="false">
      <c r="A5" s="6"/>
      <c r="B5" s="7" t="s">
        <v>12</v>
      </c>
      <c r="C5" s="8" t="n">
        <v>80</v>
      </c>
    </row>
    <row r="6" customFormat="false" ht="12.8" hidden="false" customHeight="false" outlineLevel="0" collapsed="false">
      <c r="A6" s="6"/>
      <c r="B6" s="7" t="s">
        <v>13</v>
      </c>
      <c r="C6" s="8" t="n">
        <f aca="false">31.4*2</f>
        <v>62.8</v>
      </c>
      <c r="D6" s="0" t="s">
        <v>14</v>
      </c>
    </row>
    <row r="7" customFormat="false" ht="12.8" hidden="false" customHeight="false" outlineLevel="0" collapsed="false">
      <c r="A7" s="6"/>
      <c r="B7" s="7" t="s">
        <v>15</v>
      </c>
      <c r="C7" s="8" t="n">
        <f aca="false">14*4</f>
        <v>56</v>
      </c>
      <c r="D7" s="0" t="s">
        <v>16</v>
      </c>
    </row>
    <row r="8" customFormat="false" ht="12.8" hidden="false" customHeight="false" outlineLevel="0" collapsed="false">
      <c r="A8" s="6"/>
      <c r="B8" s="7" t="s">
        <v>17</v>
      </c>
      <c r="C8" s="8" t="n">
        <v>250</v>
      </c>
    </row>
    <row r="9" customFormat="false" ht="12.8" hidden="false" customHeight="false" outlineLevel="0" collapsed="false">
      <c r="A9" s="6"/>
      <c r="B9" s="7" t="s">
        <v>18</v>
      </c>
      <c r="C9" s="9" t="n">
        <f aca="false">C8/C7</f>
        <v>4.46428571428571</v>
      </c>
    </row>
    <row r="10" customFormat="false" ht="12.8" hidden="false" customHeight="false" outlineLevel="0" collapsed="false">
      <c r="A10" s="6"/>
      <c r="B10" s="7" t="s">
        <v>19</v>
      </c>
      <c r="C10" s="10" t="n">
        <v>0.93</v>
      </c>
    </row>
    <row r="11" customFormat="false" ht="12.8" hidden="false" customHeight="false" outlineLevel="0" collapsed="false">
      <c r="A11" s="6"/>
      <c r="B11" s="7" t="s">
        <v>20</v>
      </c>
      <c r="C11" s="9" t="n">
        <f aca="false">C8/C10</f>
        <v>268.817204301075</v>
      </c>
    </row>
    <row r="12" customFormat="false" ht="12.8" hidden="false" customHeight="false" outlineLevel="0" collapsed="false">
      <c r="A12" s="6"/>
      <c r="B12" s="7" t="s">
        <v>21</v>
      </c>
      <c r="C12" s="9" t="n">
        <f aca="false">C11-C8</f>
        <v>18.8172043010753</v>
      </c>
      <c r="D12" s="0" t="s">
        <v>22</v>
      </c>
    </row>
    <row r="13" customFormat="false" ht="12.8" hidden="false" customHeight="false" outlineLevel="0" collapsed="false">
      <c r="A13" s="6"/>
      <c r="B13" s="7" t="s">
        <v>23</v>
      </c>
      <c r="C13" s="9" t="n">
        <f aca="false">C11/C6</f>
        <v>4.28052873090884</v>
      </c>
      <c r="D13" s="0" t="s">
        <v>24</v>
      </c>
    </row>
    <row r="14" customFormat="false" ht="12.8" hidden="false" customHeight="false" outlineLevel="0" collapsed="false">
      <c r="A14" s="6"/>
      <c r="B14" s="7" t="s">
        <v>25</v>
      </c>
      <c r="C14" s="9" t="n">
        <f aca="false">C9+C13</f>
        <v>8.74481444519456</v>
      </c>
      <c r="D14" s="0" t="s">
        <v>26</v>
      </c>
    </row>
    <row r="15" customFormat="false" ht="12.8" hidden="false" customHeight="false" outlineLevel="0" collapsed="false">
      <c r="A15" s="6"/>
      <c r="B15" s="7" t="s">
        <v>27</v>
      </c>
      <c r="C15" s="8" t="n">
        <v>150000</v>
      </c>
      <c r="D15" s="0" t="s">
        <v>28</v>
      </c>
    </row>
    <row r="16" customFormat="false" ht="12.8" hidden="false" customHeight="false" outlineLevel="0" collapsed="false">
      <c r="A16" s="6"/>
      <c r="B16" s="7" t="s">
        <v>29</v>
      </c>
      <c r="C16" s="11" t="n">
        <f aca="false">1/C15</f>
        <v>6.66666666666667E-006</v>
      </c>
      <c r="D16" s="0" t="s">
        <v>30</v>
      </c>
    </row>
    <row r="17" customFormat="false" ht="12.8" hidden="false" customHeight="false" outlineLevel="0" collapsed="false">
      <c r="A17" s="6"/>
      <c r="B17" s="7" t="s">
        <v>31</v>
      </c>
      <c r="C17" s="12" t="n">
        <f aca="false">0.76</f>
        <v>0.76</v>
      </c>
      <c r="D17" s="0" t="s">
        <v>32</v>
      </c>
    </row>
    <row r="18" customFormat="false" ht="12.8" hidden="false" customHeight="false" outlineLevel="0" collapsed="false">
      <c r="A18" s="6"/>
      <c r="B18" s="7" t="s">
        <v>33</v>
      </c>
      <c r="C18" s="13" t="n">
        <f aca="false">(C7+C17)/(C4+C7+C17)</f>
        <v>0.850209706411024</v>
      </c>
      <c r="D18" s="0" t="s">
        <v>34</v>
      </c>
    </row>
    <row r="19" customFormat="false" ht="12.8" hidden="false" customHeight="false" outlineLevel="0" collapsed="false">
      <c r="A19" s="6"/>
      <c r="B19" s="7" t="s">
        <v>35</v>
      </c>
      <c r="C19" s="14" t="n">
        <f aca="false">C16*C18</f>
        <v>5.66806470940683E-006</v>
      </c>
      <c r="D19" s="0" t="s">
        <v>36</v>
      </c>
    </row>
    <row r="20" customFormat="false" ht="12.8" hidden="false" customHeight="false" outlineLevel="0" collapsed="false">
      <c r="A20" s="6"/>
      <c r="B20" s="7" t="s">
        <v>37</v>
      </c>
      <c r="C20" s="13" t="n">
        <f aca="false">(C7+C17)/(C5+C7+C17)</f>
        <v>0.415033635565955</v>
      </c>
      <c r="D20" s="0" t="s">
        <v>38</v>
      </c>
    </row>
    <row r="21" customFormat="false" ht="12.8" hidden="false" customHeight="false" outlineLevel="0" collapsed="false">
      <c r="A21" s="6"/>
      <c r="B21" s="7" t="s">
        <v>39</v>
      </c>
      <c r="C21" s="14" t="n">
        <f aca="false">C16*C20</f>
        <v>2.76689090377303E-006</v>
      </c>
      <c r="D21" s="0" t="s">
        <v>40</v>
      </c>
    </row>
    <row r="22" customFormat="false" ht="12.8" hidden="false" customHeight="false" outlineLevel="0" collapsed="false">
      <c r="A22" s="6"/>
      <c r="B22" s="7" t="s">
        <v>41</v>
      </c>
      <c r="C22" s="13" t="n">
        <f aca="false">(C7+C17)/(C6+C7+C17)</f>
        <v>0.474740715958515</v>
      </c>
      <c r="D22" s="0" t="s">
        <v>42</v>
      </c>
    </row>
    <row r="23" customFormat="false" ht="12.8" hidden="false" customHeight="false" outlineLevel="0" collapsed="false">
      <c r="A23" s="6"/>
      <c r="B23" s="7" t="s">
        <v>43</v>
      </c>
      <c r="C23" s="14" t="n">
        <f aca="false">C16*C22</f>
        <v>3.1649381063901E-006</v>
      </c>
      <c r="D23" s="0" t="s">
        <v>44</v>
      </c>
    </row>
    <row r="24" customFormat="false" ht="12.8" hidden="false" customHeight="true" outlineLevel="0" collapsed="false">
      <c r="A24" s="15" t="s">
        <v>45</v>
      </c>
      <c r="B24" s="16" t="s">
        <v>46</v>
      </c>
      <c r="C24" s="10" t="n">
        <v>0.4</v>
      </c>
      <c r="D24" s="0" t="s">
        <v>47</v>
      </c>
    </row>
    <row r="25" customFormat="false" ht="12.8" hidden="false" customHeight="false" outlineLevel="0" collapsed="false">
      <c r="A25" s="15"/>
      <c r="B25" s="16" t="s">
        <v>48</v>
      </c>
      <c r="C25" s="17" t="n">
        <f aca="false">C24*C13</f>
        <v>1.71221149236354</v>
      </c>
      <c r="D25" s="0" t="s">
        <v>49</v>
      </c>
    </row>
    <row r="26" customFormat="false" ht="12.8" hidden="false" customHeight="false" outlineLevel="0" collapsed="false">
      <c r="A26" s="15"/>
      <c r="B26" s="16" t="s">
        <v>50</v>
      </c>
      <c r="C26" s="17" t="n">
        <f aca="false">(C25/2)/SQRT(3)</f>
        <v>0.49427288301283</v>
      </c>
      <c r="D26" s="0" t="s">
        <v>51</v>
      </c>
    </row>
    <row r="27" customFormat="false" ht="12.8" hidden="false" customHeight="false" outlineLevel="0" collapsed="false">
      <c r="A27" s="15"/>
      <c r="B27" s="16" t="s">
        <v>52</v>
      </c>
      <c r="C27" s="17" t="n">
        <f aca="false">C8*C24</f>
        <v>100</v>
      </c>
      <c r="D27" s="0" t="s">
        <v>53</v>
      </c>
    </row>
    <row r="28" customFormat="false" ht="12.8" hidden="false" customHeight="false" outlineLevel="0" collapsed="false">
      <c r="A28" s="15"/>
      <c r="B28" s="18" t="s">
        <v>54</v>
      </c>
      <c r="C28" s="19" t="n">
        <f aca="false">0.5*((C6*C22)/(C25*C15))</f>
        <v>5.80413441820007E-005</v>
      </c>
      <c r="D28" s="0" t="s">
        <v>55</v>
      </c>
    </row>
    <row r="29" customFormat="false" ht="12.8" hidden="false" customHeight="false" outlineLevel="0" collapsed="false">
      <c r="A29" s="15"/>
      <c r="B29" s="18" t="s">
        <v>56</v>
      </c>
      <c r="C29" s="19" t="n">
        <f aca="false">(C9*C28*(C16*C22))/(C62*C6)</f>
        <v>4.35285064897343E-006</v>
      </c>
      <c r="D29" s="0" t="s">
        <v>57</v>
      </c>
    </row>
    <row r="30" customFormat="false" ht="12.8" hidden="false" customHeight="false" outlineLevel="0" collapsed="false">
      <c r="A30" s="15"/>
      <c r="B30" s="16" t="s">
        <v>58</v>
      </c>
      <c r="C30" s="9" t="n">
        <f aca="false">C13+(C25/2)</f>
        <v>5.13663447709061</v>
      </c>
      <c r="D30" s="0" t="s">
        <v>59</v>
      </c>
    </row>
    <row r="31" customFormat="false" ht="12.8" hidden="false" customHeight="false" outlineLevel="0" collapsed="false">
      <c r="A31" s="15"/>
      <c r="B31" s="16" t="s">
        <v>60</v>
      </c>
      <c r="C31" s="9" t="n">
        <f aca="false">C9+C25/2</f>
        <v>5.32039146046748</v>
      </c>
      <c r="D31" s="0" t="s">
        <v>61</v>
      </c>
    </row>
    <row r="32" customFormat="false" ht="12.8" hidden="false" customHeight="false" outlineLevel="0" collapsed="false">
      <c r="A32" s="15"/>
      <c r="B32" s="16" t="s">
        <v>62</v>
      </c>
      <c r="C32" s="9" t="n">
        <f aca="false">C30+C31</f>
        <v>10.4570259375581</v>
      </c>
      <c r="D32" s="0" t="s">
        <v>63</v>
      </c>
    </row>
    <row r="33" customFormat="false" ht="12.8" hidden="false" customHeight="false" outlineLevel="0" collapsed="false">
      <c r="A33" s="15"/>
      <c r="B33" s="16" t="s">
        <v>64</v>
      </c>
      <c r="C33" s="9" t="n">
        <f aca="false">C13+((C26))</f>
        <v>4.77480161392167</v>
      </c>
      <c r="D33" s="0" t="s">
        <v>65</v>
      </c>
    </row>
    <row r="34" customFormat="false" ht="12.8" hidden="false" customHeight="false" outlineLevel="0" collapsed="false">
      <c r="A34" s="15"/>
      <c r="B34" s="16" t="s">
        <v>66</v>
      </c>
      <c r="C34" s="9" t="n">
        <f aca="false">C9+C26</f>
        <v>4.95855859729854</v>
      </c>
      <c r="D34" s="0" t="s">
        <v>67</v>
      </c>
    </row>
    <row r="35" customFormat="false" ht="12.8" hidden="false" customHeight="false" outlineLevel="0" collapsed="false">
      <c r="A35" s="15"/>
      <c r="B35" s="16" t="s">
        <v>68</v>
      </c>
      <c r="C35" s="9" t="n">
        <f aca="false">C33+C34</f>
        <v>9.73336021122022</v>
      </c>
      <c r="D35" s="0" t="s">
        <v>69</v>
      </c>
    </row>
    <row r="36" customFormat="false" ht="12.8" hidden="false" customHeight="false" outlineLevel="0" collapsed="false">
      <c r="A36" s="15"/>
      <c r="B36" s="16" t="s">
        <v>70</v>
      </c>
      <c r="C36" s="10" t="n">
        <v>0.2</v>
      </c>
      <c r="D36" s="0" t="s">
        <v>71</v>
      </c>
    </row>
    <row r="37" customFormat="false" ht="12.8" hidden="false" customHeight="false" outlineLevel="0" collapsed="false">
      <c r="A37" s="15"/>
      <c r="B37" s="18" t="s">
        <v>72</v>
      </c>
      <c r="C37" s="20" t="n">
        <f aca="false">C32*(1+C36)</f>
        <v>12.5484311250697</v>
      </c>
      <c r="D37" s="0" t="s">
        <v>73</v>
      </c>
    </row>
    <row r="38" customFormat="false" ht="12.8" hidden="false" customHeight="true" outlineLevel="0" collapsed="false">
      <c r="A38" s="21" t="s">
        <v>74</v>
      </c>
      <c r="B38" s="22" t="s">
        <v>75</v>
      </c>
      <c r="C38" s="23" t="n">
        <v>18</v>
      </c>
      <c r="D38" s="0" t="s">
        <v>76</v>
      </c>
    </row>
    <row r="39" customFormat="false" ht="12.8" hidden="false" customHeight="false" outlineLevel="0" collapsed="false">
      <c r="A39" s="21"/>
      <c r="B39" s="22" t="s">
        <v>77</v>
      </c>
      <c r="C39" s="23" t="n">
        <v>2</v>
      </c>
      <c r="D39" s="0" t="s">
        <v>78</v>
      </c>
    </row>
    <row r="40" customFormat="false" ht="12.8" hidden="false" customHeight="false" outlineLevel="0" collapsed="false">
      <c r="A40" s="21"/>
      <c r="B40" s="22" t="s">
        <v>79</v>
      </c>
      <c r="C40" s="23" t="n">
        <v>22</v>
      </c>
      <c r="D40" s="0" t="s">
        <v>80</v>
      </c>
    </row>
    <row r="41" customFormat="false" ht="12.8" hidden="false" customHeight="false" outlineLevel="0" collapsed="false">
      <c r="A41" s="21"/>
      <c r="B41" s="22" t="s">
        <v>81</v>
      </c>
      <c r="C41" s="24" t="n">
        <f aca="false">VLOOKUP(C40,wireawg!$A$5:$L$44,3,0)/10</f>
        <v>0.0644</v>
      </c>
      <c r="D41" s="0" t="s">
        <v>82</v>
      </c>
    </row>
    <row r="42" customFormat="false" ht="12.8" hidden="false" customHeight="false" outlineLevel="0" collapsed="false">
      <c r="A42" s="21"/>
      <c r="B42" s="22" t="s">
        <v>83</v>
      </c>
      <c r="C42" s="25" t="n">
        <f aca="false">61/10</f>
        <v>6.1</v>
      </c>
      <c r="D42" s="0" t="s">
        <v>84</v>
      </c>
    </row>
    <row r="43" customFormat="false" ht="12.8" hidden="false" customHeight="false" outlineLevel="0" collapsed="false">
      <c r="A43" s="21"/>
      <c r="B43" s="22" t="s">
        <v>85</v>
      </c>
      <c r="C43" s="26" t="n">
        <v>1.6E-007</v>
      </c>
      <c r="D43" s="0" t="s">
        <v>86</v>
      </c>
    </row>
    <row r="44" customFormat="false" ht="12.8" hidden="false" customHeight="false" outlineLevel="0" collapsed="false">
      <c r="A44" s="21"/>
      <c r="B44" s="22" t="s">
        <v>87</v>
      </c>
      <c r="C44" s="25" t="n">
        <f aca="false">14.6/10</f>
        <v>1.46</v>
      </c>
      <c r="D44" s="0" t="s">
        <v>88</v>
      </c>
    </row>
    <row r="45" customFormat="false" ht="12.8" hidden="false" customHeight="false" outlineLevel="0" collapsed="false">
      <c r="A45" s="21"/>
      <c r="B45" s="22" t="s">
        <v>89</v>
      </c>
      <c r="C45" s="27" t="n">
        <f aca="false">ROUNDUP(C38*C42,0)</f>
        <v>110</v>
      </c>
      <c r="D45" s="0" t="s">
        <v>90</v>
      </c>
    </row>
    <row r="46" customFormat="false" ht="12.8" hidden="false" customHeight="false" outlineLevel="0" collapsed="false">
      <c r="A46" s="21"/>
      <c r="B46" s="22" t="s">
        <v>91</v>
      </c>
      <c r="C46" s="27" t="n">
        <f aca="false">ROUNDDOWN(C44/(C41*C39),0)</f>
        <v>11</v>
      </c>
      <c r="D46" s="0" t="s">
        <v>92</v>
      </c>
    </row>
    <row r="47" customFormat="false" ht="12.8" hidden="false" customHeight="false" outlineLevel="0" collapsed="false">
      <c r="A47" s="21"/>
      <c r="B47" s="22" t="s">
        <v>93</v>
      </c>
      <c r="C47" s="27" t="n">
        <f aca="false">ROUNDUP(C38/C46,0)</f>
        <v>2</v>
      </c>
      <c r="D47" s="0" t="s">
        <v>94</v>
      </c>
    </row>
    <row r="48" customFormat="false" ht="12.8" hidden="false" customHeight="false" outlineLevel="0" collapsed="false">
      <c r="A48" s="21"/>
      <c r="B48" s="22" t="s">
        <v>95</v>
      </c>
      <c r="C48" s="28" t="n">
        <f aca="false">C41*C47</f>
        <v>0.1288</v>
      </c>
      <c r="D48" s="0" t="s">
        <v>96</v>
      </c>
    </row>
    <row r="49" customFormat="false" ht="12.8" hidden="false" customHeight="false" outlineLevel="0" collapsed="false">
      <c r="A49" s="21"/>
      <c r="B49" s="22" t="s">
        <v>97</v>
      </c>
      <c r="C49" s="25" t="n">
        <f aca="false">0.08/10</f>
        <v>0.008</v>
      </c>
      <c r="D49" s="0" t="s">
        <v>98</v>
      </c>
    </row>
    <row r="50" customFormat="false" ht="12.8" hidden="false" customHeight="false" outlineLevel="0" collapsed="false">
      <c r="A50" s="21"/>
      <c r="B50" s="22" t="s">
        <v>99</v>
      </c>
      <c r="C50" s="23" t="n">
        <v>25</v>
      </c>
      <c r="D50" s="0" t="s">
        <v>100</v>
      </c>
    </row>
    <row r="51" customFormat="false" ht="12.8" hidden="false" customHeight="false" outlineLevel="0" collapsed="false">
      <c r="A51" s="21"/>
      <c r="B51" s="22" t="s">
        <v>101</v>
      </c>
      <c r="C51" s="28" t="n">
        <f aca="false">C49*C50</f>
        <v>0.2</v>
      </c>
      <c r="D51" s="0" t="s">
        <v>102</v>
      </c>
    </row>
    <row r="52" customFormat="false" ht="12.8" hidden="false" customHeight="false" outlineLevel="0" collapsed="false">
      <c r="A52" s="21"/>
      <c r="B52" s="22" t="s">
        <v>103</v>
      </c>
      <c r="C52" s="14" t="n">
        <f aca="false">C43*POWER(C38,2)</f>
        <v>5.184E-005</v>
      </c>
      <c r="D52" s="0" t="s">
        <v>104</v>
      </c>
    </row>
    <row r="53" customFormat="false" ht="12.8" hidden="false" customHeight="false" outlineLevel="0" collapsed="false">
      <c r="A53" s="21"/>
      <c r="B53" s="29" t="s">
        <v>105</v>
      </c>
      <c r="C53" s="19" t="n">
        <f aca="false">((4*PI()*C42*POWER(C38,2))/C44)*(C51+(C48*2)/3)*POWER(10,-9)</f>
        <v>4.86290036050032E-006</v>
      </c>
      <c r="D53" s="0" t="s">
        <v>106</v>
      </c>
    </row>
    <row r="54" customFormat="false" ht="12.8" hidden="false" customHeight="false" outlineLevel="0" collapsed="false">
      <c r="A54" s="21"/>
      <c r="B54" s="29" t="s">
        <v>107</v>
      </c>
      <c r="C54" s="30" t="n">
        <f aca="false">C53/C28</f>
        <v>0.0837833862918765</v>
      </c>
      <c r="D54" s="0" t="s">
        <v>108</v>
      </c>
    </row>
    <row r="55" customFormat="false" ht="12.8" hidden="false" customHeight="false" outlineLevel="0" collapsed="false">
      <c r="A55" s="21"/>
      <c r="B55" s="29" t="s">
        <v>109</v>
      </c>
      <c r="C55" s="28" t="n">
        <f aca="false">C48*2+C51</f>
        <v>0.4576</v>
      </c>
      <c r="D55" s="0" t="s">
        <v>110</v>
      </c>
    </row>
    <row r="56" customFormat="false" ht="12.8" hidden="false" customHeight="false" outlineLevel="0" collapsed="false">
      <c r="A56" s="21"/>
      <c r="B56" s="22" t="s">
        <v>111</v>
      </c>
      <c r="C56" s="28" t="n">
        <f aca="false">2*PI()*C15*C53</f>
        <v>4.58317561430609</v>
      </c>
      <c r="D56" s="0" t="s">
        <v>112</v>
      </c>
    </row>
    <row r="57" customFormat="false" ht="12.8" hidden="false" customHeight="false" outlineLevel="0" collapsed="false">
      <c r="A57" s="21"/>
      <c r="B57" s="22" t="s">
        <v>113</v>
      </c>
      <c r="C57" s="31" t="n">
        <f aca="false">C64/C56</f>
        <v>0.453172983102892</v>
      </c>
      <c r="D57" s="0" t="s">
        <v>114</v>
      </c>
    </row>
    <row r="58" customFormat="false" ht="12.8" hidden="false" customHeight="false" outlineLevel="0" collapsed="false">
      <c r="A58" s="32" t="s">
        <v>115</v>
      </c>
      <c r="B58" s="33" t="s">
        <v>116</v>
      </c>
      <c r="C58" s="10" t="n">
        <v>0.2</v>
      </c>
      <c r="D58" s="0" t="s">
        <v>117</v>
      </c>
    </row>
    <row r="59" customFormat="false" ht="12.8" hidden="false" customHeight="false" outlineLevel="0" collapsed="false">
      <c r="A59" s="32"/>
      <c r="B59" s="33" t="s">
        <v>118</v>
      </c>
      <c r="C59" s="34" t="n">
        <f aca="false">C30*(1+C58)</f>
        <v>6.16396137250873</v>
      </c>
      <c r="D59" s="0" t="s">
        <v>119</v>
      </c>
    </row>
    <row r="60" customFormat="false" ht="12.8" hidden="false" customHeight="false" outlineLevel="0" collapsed="false">
      <c r="A60" s="32"/>
      <c r="B60" s="33" t="s">
        <v>120</v>
      </c>
      <c r="C60" s="35" t="n">
        <v>2</v>
      </c>
      <c r="D60" s="0" t="s">
        <v>121</v>
      </c>
    </row>
    <row r="61" customFormat="false" ht="12.8" hidden="false" customHeight="false" outlineLevel="0" collapsed="false">
      <c r="A61" s="32"/>
      <c r="B61" s="36" t="s">
        <v>122</v>
      </c>
      <c r="C61" s="19" t="n">
        <f aca="false">(C59*(C16-(C16*C18)))/(2*(C4-C60))</f>
        <v>3.84708993191328E-007</v>
      </c>
      <c r="D61" s="0" t="s">
        <v>123</v>
      </c>
      <c r="E61" s="37"/>
    </row>
    <row r="62" customFormat="false" ht="12.8" hidden="false" customHeight="false" outlineLevel="0" collapsed="false">
      <c r="A62" s="32"/>
      <c r="B62" s="33" t="s">
        <v>124</v>
      </c>
      <c r="C62" s="38" t="n">
        <v>3E-006</v>
      </c>
      <c r="D62" s="0" t="s">
        <v>125</v>
      </c>
      <c r="E62" s="2" t="s">
        <v>126</v>
      </c>
      <c r="F62" s="0" t="s">
        <v>127</v>
      </c>
      <c r="G62" s="2" t="n">
        <v>2</v>
      </c>
      <c r="H62" s="0" t="s">
        <v>128</v>
      </c>
    </row>
    <row r="63" customFormat="false" ht="12.8" hidden="false" customHeight="false" outlineLevel="0" collapsed="false">
      <c r="A63" s="32"/>
      <c r="B63" s="33" t="s">
        <v>129</v>
      </c>
      <c r="C63" s="39" t="n">
        <f aca="false">(C59*(C16-(C16*C22)))/C62</f>
        <v>7.1948398608518</v>
      </c>
      <c r="D63" s="0" t="s">
        <v>130</v>
      </c>
      <c r="E63" s="2"/>
    </row>
    <row r="64" customFormat="false" ht="12.8" hidden="false" customHeight="false" outlineLevel="0" collapsed="false">
      <c r="A64" s="32"/>
      <c r="B64" s="33" t="s">
        <v>131</v>
      </c>
      <c r="C64" s="39" t="n">
        <f aca="false">(C63/2)/SQRT(3)</f>
        <v>2.07697136521952</v>
      </c>
      <c r="D64" s="0" t="s">
        <v>132</v>
      </c>
      <c r="E64" s="2"/>
    </row>
    <row r="65" customFormat="false" ht="12.8" hidden="false" customHeight="false" outlineLevel="0" collapsed="false">
      <c r="A65" s="32"/>
      <c r="B65" s="33" t="s">
        <v>133</v>
      </c>
      <c r="C65" s="34" t="n">
        <f aca="false">(C63/2)+C5</f>
        <v>83.5974199304259</v>
      </c>
      <c r="D65" s="0" t="s">
        <v>134</v>
      </c>
      <c r="E65" s="2"/>
    </row>
    <row r="66" customFormat="false" ht="12.8" hidden="false" customHeight="false" outlineLevel="0" collapsed="false">
      <c r="A66" s="32"/>
      <c r="B66" s="36" t="s">
        <v>135</v>
      </c>
      <c r="C66" s="40" t="n">
        <f aca="false">(C59*(C16-(C16*C18)))/C62</f>
        <v>2.05178129702042</v>
      </c>
      <c r="D66" s="0" t="s">
        <v>136</v>
      </c>
      <c r="E66" s="2"/>
    </row>
    <row r="67" customFormat="false" ht="12.8" hidden="false" customHeight="false" outlineLevel="0" collapsed="false">
      <c r="A67" s="32"/>
      <c r="B67" s="36" t="s">
        <v>137</v>
      </c>
      <c r="C67" s="40" t="n">
        <f aca="false">C13*SQRT((1-C22)/C22)</f>
        <v>4.50252408729629</v>
      </c>
      <c r="D67" s="0" t="s">
        <v>138</v>
      </c>
      <c r="E67" s="2"/>
    </row>
    <row r="68" customFormat="false" ht="12.8" hidden="false" customHeight="false" outlineLevel="0" collapsed="false">
      <c r="A68" s="32"/>
      <c r="B68" s="36" t="s">
        <v>139</v>
      </c>
      <c r="C68" s="41" t="n">
        <f aca="false">1/(2*PI()*SQRT(C62*C53))</f>
        <v>41668.8791692461</v>
      </c>
      <c r="D68" s="0" t="s">
        <v>140</v>
      </c>
      <c r="E68" s="2"/>
    </row>
    <row r="69" customFormat="false" ht="12.8" hidden="false" customHeight="false" outlineLevel="0" collapsed="false">
      <c r="A69" s="32"/>
      <c r="B69" s="33" t="s">
        <v>141</v>
      </c>
      <c r="C69" s="34" t="n">
        <f aca="false">SQRT(C53/C62)</f>
        <v>1.27317193922637</v>
      </c>
      <c r="D69" s="0" t="s">
        <v>142</v>
      </c>
      <c r="E69" s="2"/>
    </row>
    <row r="70" customFormat="false" ht="12.8" hidden="false" customHeight="false" outlineLevel="0" collapsed="false">
      <c r="A70" s="32"/>
      <c r="B70" s="33" t="s">
        <v>143</v>
      </c>
      <c r="C70" s="34" t="n">
        <f aca="false">C69/2</f>
        <v>0.636585969613186</v>
      </c>
      <c r="D70" s="0" t="s">
        <v>144</v>
      </c>
      <c r="E70" s="2"/>
    </row>
    <row r="71" customFormat="false" ht="12.8" hidden="false" customHeight="false" outlineLevel="0" collapsed="false">
      <c r="A71" s="32"/>
      <c r="B71" s="33" t="s">
        <v>145</v>
      </c>
      <c r="C71" s="42" t="n">
        <f aca="false">1/(2*PI()*C68*C70)</f>
        <v>6E-006</v>
      </c>
      <c r="D71" s="0" t="s">
        <v>146</v>
      </c>
      <c r="E71" s="2"/>
    </row>
    <row r="72" customFormat="false" ht="12.8" hidden="false" customHeight="false" outlineLevel="0" collapsed="false">
      <c r="A72" s="32"/>
      <c r="B72" s="33" t="s">
        <v>147</v>
      </c>
      <c r="C72" s="35" t="n">
        <v>1</v>
      </c>
      <c r="D72" s="0" t="s">
        <v>148</v>
      </c>
      <c r="E72" s="2" t="n">
        <v>1</v>
      </c>
      <c r="F72" s="0" t="s">
        <v>149</v>
      </c>
      <c r="G72" s="2" t="n">
        <v>1</v>
      </c>
      <c r="H72" s="0" t="s">
        <v>150</v>
      </c>
    </row>
    <row r="73" customFormat="false" ht="12.8" hidden="false" customHeight="false" outlineLevel="0" collapsed="false">
      <c r="A73" s="32"/>
      <c r="B73" s="33" t="s">
        <v>151</v>
      </c>
      <c r="C73" s="38" t="n">
        <v>1.5E-006</v>
      </c>
      <c r="D73" s="0" t="s">
        <v>152</v>
      </c>
      <c r="E73" s="2" t="s">
        <v>126</v>
      </c>
      <c r="F73" s="0" t="s">
        <v>127</v>
      </c>
      <c r="G73" s="2" t="n">
        <v>1</v>
      </c>
      <c r="H73" s="0" t="s">
        <v>128</v>
      </c>
    </row>
    <row r="74" customFormat="false" ht="12.8" hidden="false" customHeight="false" outlineLevel="0" collapsed="false">
      <c r="A74" s="32"/>
      <c r="B74" s="33" t="s">
        <v>153</v>
      </c>
      <c r="C74" s="34" t="n">
        <f aca="false">C72+(1/(2*PI()*C68*C73))</f>
        <v>3.54634387845274</v>
      </c>
      <c r="D74" s="0" t="s">
        <v>154</v>
      </c>
    </row>
    <row r="75" customFormat="false" ht="12.8" hidden="false" customHeight="false" outlineLevel="0" collapsed="false">
      <c r="A75" s="32"/>
      <c r="B75" s="36" t="s">
        <v>155</v>
      </c>
      <c r="C75" s="40" t="n">
        <f aca="false">C74/C69</f>
        <v>2.78543986808855</v>
      </c>
      <c r="D75" s="0" t="s">
        <v>156</v>
      </c>
    </row>
    <row r="76" customFormat="false" ht="12.8" hidden="false" customHeight="false" outlineLevel="0" collapsed="false">
      <c r="A76" s="32"/>
      <c r="B76" s="33" t="s">
        <v>157</v>
      </c>
      <c r="C76" s="34" t="n">
        <f aca="false">C72+(1/(2*PI()*C15*C73))</f>
        <v>1.70735530263065</v>
      </c>
      <c r="D76" s="0" t="s">
        <v>158</v>
      </c>
    </row>
    <row r="77" customFormat="false" ht="12.8" hidden="false" customHeight="false" outlineLevel="0" collapsed="false">
      <c r="A77" s="32"/>
      <c r="B77" s="33" t="s">
        <v>159</v>
      </c>
      <c r="C77" s="34" t="n">
        <f aca="false">1/(2*PI()*C15*C62)</f>
        <v>0.353677651315323</v>
      </c>
      <c r="D77" s="0" t="s">
        <v>160</v>
      </c>
    </row>
    <row r="78" customFormat="false" ht="12.8" hidden="false" customHeight="false" outlineLevel="0" collapsed="false">
      <c r="A78" s="32"/>
      <c r="B78" s="33" t="s">
        <v>161</v>
      </c>
      <c r="C78" s="34" t="n">
        <f aca="false">C76/C77</f>
        <v>4.82743338823081</v>
      </c>
      <c r="D78" s="0" t="s">
        <v>162</v>
      </c>
    </row>
    <row r="79" customFormat="false" ht="12.8" hidden="false" customHeight="false" outlineLevel="0" collapsed="false">
      <c r="A79" s="32"/>
      <c r="B79" s="36" t="s">
        <v>163</v>
      </c>
      <c r="C79" s="40" t="n">
        <f aca="false">POWER(((((C33*(C16-(C16*C22)))/C62)/2)/SQRT(3))/C76,2)*C72</f>
        <v>0.887981769527447</v>
      </c>
      <c r="D79" s="0" t="s">
        <v>164</v>
      </c>
    </row>
    <row r="80" customFormat="false" ht="12.8" hidden="false" customHeight="true" outlineLevel="0" collapsed="false">
      <c r="A80" s="43" t="s">
        <v>165</v>
      </c>
      <c r="B80" s="44" t="s">
        <v>166</v>
      </c>
      <c r="C80" s="45" t="n">
        <v>152</v>
      </c>
      <c r="D80" s="0" t="s">
        <v>167</v>
      </c>
    </row>
    <row r="81" customFormat="false" ht="12.8" hidden="false" customHeight="false" outlineLevel="0" collapsed="false">
      <c r="A81" s="43"/>
      <c r="B81" s="44" t="s">
        <v>168</v>
      </c>
      <c r="C81" s="12" t="n">
        <v>0.3</v>
      </c>
      <c r="D81" s="0" t="s">
        <v>169</v>
      </c>
    </row>
    <row r="82" customFormat="false" ht="12.8" hidden="false" customHeight="false" outlineLevel="0" collapsed="false">
      <c r="A82" s="43"/>
      <c r="B82" s="44" t="s">
        <v>170</v>
      </c>
      <c r="C82" s="8" t="n">
        <v>10</v>
      </c>
      <c r="D82" s="0" t="s">
        <v>171</v>
      </c>
    </row>
    <row r="83" customFormat="false" ht="12.8" hidden="false" customHeight="false" outlineLevel="0" collapsed="false">
      <c r="A83" s="43"/>
      <c r="B83" s="44" t="s">
        <v>172</v>
      </c>
      <c r="C83" s="46" t="n">
        <f aca="false">VLOOKUP(C82,wireawg!$A$5:$L$44,3,0)/10</f>
        <v>0.2588</v>
      </c>
      <c r="D83" s="0" t="s">
        <v>173</v>
      </c>
    </row>
    <row r="84" customFormat="false" ht="12.8" hidden="false" customHeight="false" outlineLevel="0" collapsed="false">
      <c r="A84" s="43"/>
      <c r="B84" s="44" t="s">
        <v>174</v>
      </c>
      <c r="C84" s="47" t="n">
        <f aca="false">(4*C80*LN((2*C81)/C83))*POWER(10,-9)</f>
        <v>5.11251448294356E-007</v>
      </c>
      <c r="D84" s="0" t="s">
        <v>175</v>
      </c>
    </row>
    <row r="85" customFormat="false" ht="12.8" hidden="false" customHeight="false" outlineLevel="0" collapsed="false">
      <c r="A85" s="43"/>
      <c r="B85" s="44" t="s">
        <v>176</v>
      </c>
      <c r="C85" s="48" t="n">
        <v>0.1</v>
      </c>
      <c r="D85" s="0" t="s">
        <v>177</v>
      </c>
    </row>
    <row r="86" customFormat="false" ht="12.8" hidden="false" customHeight="false" outlineLevel="0" collapsed="false">
      <c r="A86" s="43"/>
      <c r="B86" s="44" t="s">
        <v>178</v>
      </c>
      <c r="C86" s="49" t="n">
        <v>0.3</v>
      </c>
      <c r="D86" s="0" t="s">
        <v>179</v>
      </c>
    </row>
    <row r="87" customFormat="false" ht="12.8" hidden="false" customHeight="false" outlineLevel="0" collapsed="false">
      <c r="A87" s="43"/>
      <c r="B87" s="44" t="s">
        <v>180</v>
      </c>
      <c r="C87" s="24" t="n">
        <f aca="false">C85*(1-C86)</f>
        <v>0.07</v>
      </c>
      <c r="D87" s="0" t="s">
        <v>181</v>
      </c>
    </row>
    <row r="88" customFormat="false" ht="12.8" hidden="false" customHeight="false" outlineLevel="0" collapsed="false">
      <c r="A88" s="43"/>
      <c r="B88" s="44" t="s">
        <v>182</v>
      </c>
      <c r="C88" s="24" t="n">
        <f aca="false">C87/C25</f>
        <v>0.0408828</v>
      </c>
      <c r="D88" s="0" t="s">
        <v>183</v>
      </c>
    </row>
    <row r="89" customFormat="false" ht="12.8" hidden="false" customHeight="false" outlineLevel="0" collapsed="false">
      <c r="A89" s="43"/>
      <c r="B89" s="44" t="s">
        <v>184</v>
      </c>
      <c r="C89" s="50" t="n">
        <f aca="false">C88/(2*PI()*C84)</f>
        <v>12727.0049388517</v>
      </c>
      <c r="D89" s="0" t="s">
        <v>185</v>
      </c>
    </row>
    <row r="90" customFormat="false" ht="12.8" hidden="false" customHeight="false" outlineLevel="0" collapsed="false">
      <c r="A90" s="43"/>
      <c r="B90" s="51" t="s">
        <v>186</v>
      </c>
      <c r="C90" s="52" t="n">
        <f aca="false">1/(2*PI()*C89*C88)</f>
        <v>0.000305881553142537</v>
      </c>
      <c r="D90" s="0" t="s">
        <v>187</v>
      </c>
      <c r="E90" s="0" t="s">
        <v>188</v>
      </c>
      <c r="F90" s="0" t="s">
        <v>189</v>
      </c>
      <c r="G90" s="2" t="n">
        <v>1</v>
      </c>
      <c r="H90" s="0" t="s">
        <v>190</v>
      </c>
    </row>
    <row r="91" customFormat="false" ht="12.8" hidden="false" customHeight="false" outlineLevel="0" collapsed="false">
      <c r="A91" s="43"/>
      <c r="B91" s="51" t="s">
        <v>191</v>
      </c>
      <c r="C91" s="40" t="n">
        <f aca="false">C25/SQRT(3)</f>
        <v>0.988545766025659</v>
      </c>
      <c r="D91" s="0" t="s">
        <v>192</v>
      </c>
      <c r="H91" s="0" t="s">
        <v>193</v>
      </c>
    </row>
    <row r="92" customFormat="false" ht="12.8" hidden="false" customHeight="true" outlineLevel="0" collapsed="false">
      <c r="A92" s="53" t="s">
        <v>194</v>
      </c>
      <c r="B92" s="54" t="s">
        <v>195</v>
      </c>
      <c r="C92" s="12" t="n">
        <v>0.1</v>
      </c>
      <c r="D92" s="0" t="s">
        <v>196</v>
      </c>
    </row>
    <row r="93" customFormat="false" ht="12.8" hidden="false" customHeight="false" outlineLevel="0" collapsed="false">
      <c r="A93" s="53"/>
      <c r="B93" s="55" t="s">
        <v>197</v>
      </c>
      <c r="C93" s="19" t="n">
        <f aca="false">(C9*C16*C22)/C92</f>
        <v>0.000141291879749558</v>
      </c>
      <c r="D93" s="0" t="s">
        <v>198</v>
      </c>
    </row>
    <row r="94" customFormat="false" ht="12.8" hidden="false" customHeight="false" outlineLevel="0" collapsed="false">
      <c r="A94" s="53"/>
      <c r="B94" s="54" t="s">
        <v>199</v>
      </c>
      <c r="C94" s="26" t="n">
        <f aca="false">0.00022*2</f>
        <v>0.00044</v>
      </c>
      <c r="D94" s="0" t="s">
        <v>200</v>
      </c>
      <c r="E94" s="0" t="s">
        <v>201</v>
      </c>
      <c r="F94" s="0" t="s">
        <v>202</v>
      </c>
      <c r="G94" s="2" t="n">
        <v>2</v>
      </c>
      <c r="H94" s="0" t="s">
        <v>203</v>
      </c>
    </row>
    <row r="95" customFormat="false" ht="12.8" hidden="false" customHeight="false" outlineLevel="0" collapsed="false">
      <c r="A95" s="53"/>
      <c r="B95" s="54" t="s">
        <v>204</v>
      </c>
      <c r="C95" s="12" t="n">
        <f aca="false">0.054/2</f>
        <v>0.027</v>
      </c>
      <c r="D95" s="0" t="s">
        <v>205</v>
      </c>
      <c r="H95" s="0" t="s">
        <v>206</v>
      </c>
    </row>
    <row r="96" customFormat="false" ht="12.8" hidden="false" customHeight="false" outlineLevel="0" collapsed="false">
      <c r="A96" s="53"/>
      <c r="B96" s="55" t="s">
        <v>207</v>
      </c>
      <c r="C96" s="40" t="n">
        <f aca="false">((C9*C16*C22)/C94)+(C95*C9)</f>
        <v>0.152647505137887</v>
      </c>
      <c r="D96" s="0" t="s">
        <v>208</v>
      </c>
    </row>
    <row r="97" customFormat="false" ht="12.8" hidden="false" customHeight="false" outlineLevel="0" collapsed="false">
      <c r="A97" s="53"/>
      <c r="B97" s="55" t="s">
        <v>209</v>
      </c>
      <c r="C97" s="20" t="n">
        <f aca="false">C9*SQRT(C22/(1-C22))</f>
        <v>4.2441756873445</v>
      </c>
      <c r="D97" s="0" t="s">
        <v>210</v>
      </c>
    </row>
  </sheetData>
  <mergeCells count="9">
    <mergeCell ref="A1:H1"/>
    <mergeCell ref="A2:D2"/>
    <mergeCell ref="E2:H2"/>
    <mergeCell ref="A4:A23"/>
    <mergeCell ref="A24:A37"/>
    <mergeCell ref="A38:A57"/>
    <mergeCell ref="A58:A79"/>
    <mergeCell ref="A80:A91"/>
    <mergeCell ref="A92:A97"/>
  </mergeCell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2:AC39"/>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6" width="37.88"/>
    <col collapsed="false" customWidth="true" hidden="false" outlineLevel="0" max="2" min="2" style="56" width="18.59"/>
    <col collapsed="false" customWidth="true" hidden="false" outlineLevel="0" max="3" min="3" style="56" width="4.36"/>
    <col collapsed="false" customWidth="true" hidden="false" outlineLevel="0" max="4" min="4" style="56" width="16.3"/>
    <col collapsed="false" customWidth="true" hidden="false" outlineLevel="0" max="5" min="5" style="56" width="15.84"/>
    <col collapsed="false" customWidth="true" hidden="false" outlineLevel="0" max="7" min="6" style="56" width="14.45"/>
    <col collapsed="false" customWidth="true" hidden="false" outlineLevel="0" max="12" min="8" style="56" width="14.69"/>
    <col collapsed="false" customWidth="true" hidden="false" outlineLevel="0" max="13" min="13" style="56" width="14.45"/>
    <col collapsed="false" customWidth="true" hidden="false" outlineLevel="0" max="14" min="14" style="56" width="5.06"/>
    <col collapsed="false" customWidth="true" hidden="false" outlineLevel="0" max="15" min="15" style="56" width="36.04"/>
    <col collapsed="false" customWidth="true" hidden="false" outlineLevel="0" max="16" min="16" style="56" width="14.45"/>
    <col collapsed="false" customWidth="true" hidden="false" outlineLevel="0" max="17" min="17" style="56" width="5.06"/>
    <col collapsed="false" customWidth="true" hidden="false" outlineLevel="0" max="18" min="18" style="56" width="19.5"/>
    <col collapsed="false" customWidth="true" hidden="false" outlineLevel="0" max="19" min="19" style="56" width="14.45"/>
    <col collapsed="false" customWidth="true" hidden="false" outlineLevel="0" max="20" min="20" style="56" width="5.73"/>
    <col collapsed="false" customWidth="true" hidden="false" outlineLevel="0" max="21" min="21" style="56" width="4.39"/>
    <col collapsed="false" customWidth="true" hidden="false" outlineLevel="0" max="22" min="22" style="56" width="5.15"/>
    <col collapsed="false" customWidth="true" hidden="false" outlineLevel="0" max="23" min="23" style="56" width="8.9"/>
    <col collapsed="false" customWidth="true" hidden="false" outlineLevel="0" max="24" min="24" style="56" width="10.96"/>
    <col collapsed="false" customWidth="true" hidden="false" outlineLevel="0" max="25" min="25" style="56" width="9.09"/>
    <col collapsed="false" customWidth="true" hidden="false" outlineLevel="0" max="26" min="26" style="56" width="10.77"/>
    <col collapsed="false" customWidth="true" hidden="false" outlineLevel="0" max="27" min="27" style="56" width="19.77"/>
    <col collapsed="false" customWidth="true" hidden="false" outlineLevel="0" max="28" min="28" style="56" width="16.97"/>
    <col collapsed="false" customWidth="true" hidden="false" outlineLevel="0" max="29" min="29" style="56" width="31.06"/>
    <col collapsed="false" customWidth="true" hidden="false" outlineLevel="0" max="1023" min="30" style="56" width="14.45"/>
    <col collapsed="false" customWidth="true" hidden="false" outlineLevel="0" max="1025" min="1024" style="0" width="14.45"/>
  </cols>
  <sheetData>
    <row r="2" customFormat="false" ht="15.65" hidden="false" customHeight="true" outlineLevel="0" collapsed="false">
      <c r="A2" s="57" t="s">
        <v>211</v>
      </c>
      <c r="B2" s="57"/>
      <c r="D2" s="58" t="s">
        <v>212</v>
      </c>
      <c r="E2" s="58"/>
      <c r="F2" s="58"/>
      <c r="G2" s="58"/>
      <c r="H2" s="58"/>
      <c r="I2" s="58"/>
      <c r="J2" s="58"/>
      <c r="K2" s="58"/>
      <c r="L2" s="58"/>
      <c r="M2" s="58"/>
      <c r="O2" s="59" t="s">
        <v>213</v>
      </c>
      <c r="P2" s="59"/>
      <c r="R2" s="60" t="s">
        <v>214</v>
      </c>
      <c r="S2" s="60"/>
      <c r="U2" s="61" t="s">
        <v>215</v>
      </c>
      <c r="V2" s="61"/>
      <c r="W2" s="61"/>
      <c r="X2" s="61" t="s">
        <v>216</v>
      </c>
      <c r="Y2" s="61"/>
      <c r="Z2" s="61"/>
      <c r="AA2" s="61"/>
      <c r="AB2" s="61"/>
      <c r="AC2" s="61"/>
    </row>
    <row r="3" customFormat="false" ht="12.8" hidden="false" customHeight="false" outlineLevel="0" collapsed="false">
      <c r="A3" s="62" t="s">
        <v>217</v>
      </c>
      <c r="B3" s="63" t="n">
        <v>16000000</v>
      </c>
      <c r="C3" s="64"/>
      <c r="D3" s="65" t="s">
        <v>218</v>
      </c>
      <c r="E3" s="66" t="n">
        <v>32000000</v>
      </c>
      <c r="F3" s="67"/>
      <c r="G3" s="67"/>
      <c r="H3" s="67"/>
      <c r="I3" s="67"/>
      <c r="J3" s="67"/>
      <c r="K3" s="67"/>
      <c r="L3" s="67"/>
      <c r="M3" s="67"/>
      <c r="O3" s="68" t="s">
        <v>219</v>
      </c>
      <c r="P3" s="69" t="n">
        <v>1E-006</v>
      </c>
      <c r="R3" s="68" t="s">
        <v>220</v>
      </c>
      <c r="S3" s="70" t="n">
        <f aca="false">1.024*4</f>
        <v>4.096</v>
      </c>
      <c r="U3" s="71" t="s">
        <v>221</v>
      </c>
      <c r="V3" s="72" t="s">
        <v>222</v>
      </c>
      <c r="W3" s="73" t="s">
        <v>223</v>
      </c>
      <c r="X3" s="71" t="s">
        <v>224</v>
      </c>
      <c r="Y3" s="72" t="s">
        <v>225</v>
      </c>
      <c r="Z3" s="72" t="s">
        <v>226</v>
      </c>
      <c r="AA3" s="72" t="s">
        <v>227</v>
      </c>
      <c r="AB3" s="72" t="s">
        <v>228</v>
      </c>
      <c r="AC3" s="73" t="s">
        <v>6</v>
      </c>
    </row>
    <row r="4" customFormat="false" ht="12.8" hidden="false" customHeight="false" outlineLevel="0" collapsed="false">
      <c r="A4" s="62" t="s">
        <v>229</v>
      </c>
      <c r="B4" s="74" t="n">
        <f aca="false">1/B3</f>
        <v>6.25E-008</v>
      </c>
      <c r="C4" s="75"/>
      <c r="D4" s="76" t="s">
        <v>230</v>
      </c>
      <c r="E4" s="77" t="n">
        <v>1</v>
      </c>
      <c r="F4" s="77" t="n">
        <v>2</v>
      </c>
      <c r="G4" s="77" t="n">
        <v>4</v>
      </c>
      <c r="H4" s="77" t="n">
        <v>8</v>
      </c>
      <c r="I4" s="77" t="n">
        <v>16</v>
      </c>
      <c r="J4" s="77" t="n">
        <v>32</v>
      </c>
      <c r="K4" s="77" t="n">
        <v>64</v>
      </c>
      <c r="L4" s="77" t="n">
        <v>128</v>
      </c>
      <c r="M4" s="78" t="n">
        <v>256</v>
      </c>
      <c r="O4" s="68" t="s">
        <v>231</v>
      </c>
      <c r="P4" s="79" t="n">
        <v>12</v>
      </c>
      <c r="R4" s="68" t="s">
        <v>232</v>
      </c>
      <c r="S4" s="80" t="n">
        <f aca="false">S3/1024</f>
        <v>0.004</v>
      </c>
      <c r="U4" s="81" t="n">
        <v>1</v>
      </c>
      <c r="V4" s="82" t="s">
        <v>233</v>
      </c>
      <c r="W4" s="83" t="s">
        <v>234</v>
      </c>
      <c r="X4" s="82" t="s">
        <v>235</v>
      </c>
      <c r="Y4" s="82" t="s">
        <v>235</v>
      </c>
      <c r="Z4" s="82" t="s">
        <v>235</v>
      </c>
      <c r="AA4" s="82" t="s">
        <v>233</v>
      </c>
      <c r="AB4" s="82" t="s">
        <v>233</v>
      </c>
      <c r="AC4" s="84"/>
    </row>
    <row r="5" customFormat="false" ht="12.8" hidden="false" customHeight="false" outlineLevel="0" collapsed="false">
      <c r="A5" s="62" t="s">
        <v>236</v>
      </c>
      <c r="B5" s="85" t="n">
        <f aca="false">B3/4</f>
        <v>4000000</v>
      </c>
      <c r="D5" s="65" t="s">
        <v>237</v>
      </c>
      <c r="E5" s="86" t="n">
        <f aca="false">($E$3/4)/E4</f>
        <v>8000000</v>
      </c>
      <c r="F5" s="86" t="n">
        <f aca="false">($E$3/4)/F4</f>
        <v>4000000</v>
      </c>
      <c r="G5" s="86" t="n">
        <f aca="false">($E$3/4)/G4</f>
        <v>2000000</v>
      </c>
      <c r="H5" s="86" t="n">
        <f aca="false">($E$3/4)/H4</f>
        <v>1000000</v>
      </c>
      <c r="I5" s="86" t="n">
        <f aca="false">($E$3/4)/I4</f>
        <v>500000</v>
      </c>
      <c r="J5" s="86" t="n">
        <f aca="false">($E$3/4)/J4</f>
        <v>250000</v>
      </c>
      <c r="K5" s="86" t="n">
        <f aca="false">($E$3/4)/K4</f>
        <v>125000</v>
      </c>
      <c r="L5" s="86" t="n">
        <f aca="false">($E$3/4)/L4</f>
        <v>62500</v>
      </c>
      <c r="M5" s="87" t="n">
        <f aca="false">($E$3/4)/M4</f>
        <v>31250</v>
      </c>
      <c r="O5" s="88" t="s">
        <v>238</v>
      </c>
      <c r="P5" s="89" t="n">
        <f aca="false">P3*P4</f>
        <v>1.2E-005</v>
      </c>
      <c r="R5" s="68" t="s">
        <v>239</v>
      </c>
      <c r="S5" s="90" t="n">
        <v>0.283</v>
      </c>
      <c r="U5" s="81" t="n">
        <v>2</v>
      </c>
      <c r="V5" s="82" t="s">
        <v>240</v>
      </c>
      <c r="W5" s="83" t="s">
        <v>234</v>
      </c>
      <c r="X5" s="91" t="n">
        <v>0</v>
      </c>
      <c r="Y5" s="82" t="n">
        <v>0</v>
      </c>
      <c r="Z5" s="82" t="s">
        <v>235</v>
      </c>
      <c r="AA5" s="82" t="s">
        <v>240</v>
      </c>
      <c r="AB5" s="82" t="s">
        <v>241</v>
      </c>
      <c r="AC5" s="84"/>
    </row>
    <row r="6" customFormat="false" ht="12.8" hidden="false" customHeight="false" outlineLevel="0" collapsed="false">
      <c r="A6" s="62" t="s">
        <v>242</v>
      </c>
      <c r="B6" s="74" t="n">
        <f aca="false">1/B5</f>
        <v>2.5E-007</v>
      </c>
      <c r="C6" s="75"/>
      <c r="D6" s="65" t="s">
        <v>243</v>
      </c>
      <c r="E6" s="92" t="n">
        <f aca="false">1/E5</f>
        <v>1.25E-007</v>
      </c>
      <c r="F6" s="92" t="n">
        <f aca="false">1/F5</f>
        <v>2.5E-007</v>
      </c>
      <c r="G6" s="92" t="n">
        <f aca="false">1/G5</f>
        <v>5E-007</v>
      </c>
      <c r="H6" s="92" t="n">
        <f aca="false">1/H5</f>
        <v>1E-006</v>
      </c>
      <c r="I6" s="92" t="n">
        <f aca="false">1/I5</f>
        <v>2E-006</v>
      </c>
      <c r="J6" s="92" t="n">
        <f aca="false">1/J5</f>
        <v>4E-006</v>
      </c>
      <c r="K6" s="92" t="n">
        <f aca="false">1/K5</f>
        <v>8E-006</v>
      </c>
      <c r="L6" s="92" t="n">
        <f aca="false">1/L5</f>
        <v>1.6E-005</v>
      </c>
      <c r="M6" s="93" t="n">
        <f aca="false">1/M5</f>
        <v>3.2E-005</v>
      </c>
      <c r="O6" s="68"/>
      <c r="P6" s="94"/>
      <c r="R6" s="95" t="s">
        <v>244</v>
      </c>
      <c r="S6" s="96" t="str">
        <f aca="false">"0x"&amp;DEC2HEX(S5/S4,4)&amp;" / "&amp;TEXT(S5/S4,"0")</f>
        <v>0x0046 / 71</v>
      </c>
      <c r="U6" s="81" t="n">
        <v>3</v>
      </c>
      <c r="V6" s="82" t="s">
        <v>245</v>
      </c>
      <c r="W6" s="83" t="s">
        <v>246</v>
      </c>
      <c r="X6" s="91" t="n">
        <v>0</v>
      </c>
      <c r="Y6" s="82" t="n">
        <v>0</v>
      </c>
      <c r="Z6" s="82" t="s">
        <v>235</v>
      </c>
      <c r="AA6" s="82" t="s">
        <v>245</v>
      </c>
      <c r="AB6" s="82" t="s">
        <v>247</v>
      </c>
      <c r="AC6" s="84"/>
    </row>
    <row r="7" customFormat="false" ht="12.8" hidden="false" customHeight="false" outlineLevel="0" collapsed="false">
      <c r="A7" s="62" t="s">
        <v>248</v>
      </c>
      <c r="B7" s="97" t="n">
        <f aca="false">B15/B6</f>
        <v>26.5</v>
      </c>
      <c r="D7" s="76" t="s">
        <v>249</v>
      </c>
      <c r="E7" s="92" t="n">
        <f aca="false">E6*256</f>
        <v>3.2E-005</v>
      </c>
      <c r="F7" s="92" t="n">
        <f aca="false">F6*256</f>
        <v>6.4E-005</v>
      </c>
      <c r="G7" s="92" t="n">
        <f aca="false">G6*256</f>
        <v>0.000128</v>
      </c>
      <c r="H7" s="92" t="n">
        <f aca="false">H6*256</f>
        <v>0.000256</v>
      </c>
      <c r="I7" s="92" t="n">
        <f aca="false">I6*256</f>
        <v>0.000512</v>
      </c>
      <c r="J7" s="92" t="n">
        <f aca="false">J6*256</f>
        <v>0.001024</v>
      </c>
      <c r="K7" s="92" t="n">
        <f aca="false">K6*256</f>
        <v>0.002048</v>
      </c>
      <c r="L7" s="92" t="n">
        <f aca="false">L6*256</f>
        <v>0.004096</v>
      </c>
      <c r="M7" s="92" t="n">
        <f aca="false">M6*256</f>
        <v>0.008192</v>
      </c>
      <c r="O7" s="68" t="s">
        <v>250</v>
      </c>
      <c r="P7" s="98" t="n">
        <v>2E-006</v>
      </c>
      <c r="R7" s="99"/>
      <c r="U7" s="81" t="n">
        <v>4</v>
      </c>
      <c r="V7" s="82" t="s">
        <v>251</v>
      </c>
      <c r="W7" s="83" t="s">
        <v>234</v>
      </c>
      <c r="X7" s="91" t="n">
        <v>1</v>
      </c>
      <c r="Y7" s="82" t="n">
        <v>0</v>
      </c>
      <c r="Z7" s="82" t="s">
        <v>235</v>
      </c>
      <c r="AA7" s="82" t="s">
        <v>251</v>
      </c>
      <c r="AB7" s="82" t="s">
        <v>252</v>
      </c>
      <c r="AC7" s="84"/>
    </row>
    <row r="8" customFormat="false" ht="12.8" hidden="false" customHeight="false" outlineLevel="0" collapsed="false">
      <c r="A8" s="62" t="s">
        <v>253</v>
      </c>
      <c r="B8" s="100" t="s">
        <v>254</v>
      </c>
      <c r="C8" s="101"/>
      <c r="D8" s="102" t="s">
        <v>255</v>
      </c>
      <c r="E8" s="103" t="n">
        <f aca="false">1/E7</f>
        <v>31250</v>
      </c>
      <c r="F8" s="103" t="n">
        <f aca="false">1/F7</f>
        <v>15625</v>
      </c>
      <c r="G8" s="103" t="n">
        <f aca="false">1/G7</f>
        <v>7812.5</v>
      </c>
      <c r="H8" s="103" t="n">
        <f aca="false">1/H7</f>
        <v>3906.25</v>
      </c>
      <c r="I8" s="103" t="n">
        <f aca="false">1/I7</f>
        <v>1953.125</v>
      </c>
      <c r="J8" s="103" t="n">
        <f aca="false">1/J7</f>
        <v>976.5625</v>
      </c>
      <c r="K8" s="103" t="n">
        <f aca="false">1/K7</f>
        <v>488.28125</v>
      </c>
      <c r="L8" s="103" t="n">
        <f aca="false">1/L7</f>
        <v>244.140625</v>
      </c>
      <c r="M8" s="104" t="n">
        <f aca="false">1/M7</f>
        <v>122.0703125</v>
      </c>
      <c r="O8" s="68" t="s">
        <v>256</v>
      </c>
      <c r="P8" s="105" t="n">
        <v>10000</v>
      </c>
      <c r="R8" s="99"/>
      <c r="U8" s="81" t="n">
        <v>5</v>
      </c>
      <c r="V8" s="82" t="s">
        <v>257</v>
      </c>
      <c r="W8" s="83" t="s">
        <v>234</v>
      </c>
      <c r="X8" s="91" t="n">
        <v>0</v>
      </c>
      <c r="Y8" s="82" t="n">
        <v>0</v>
      </c>
      <c r="Z8" s="82" t="s">
        <v>258</v>
      </c>
      <c r="AA8" s="82" t="s">
        <v>259</v>
      </c>
      <c r="AB8" s="82" t="s">
        <v>260</v>
      </c>
      <c r="AC8" s="84" t="s">
        <v>261</v>
      </c>
    </row>
    <row r="9" customFormat="false" ht="12.8" hidden="false" customHeight="false" outlineLevel="0" collapsed="false">
      <c r="A9" s="62" t="s">
        <v>262</v>
      </c>
      <c r="B9" s="106" t="n">
        <f aca="false">HEX2DEC(B8)</f>
        <v>105</v>
      </c>
      <c r="C9" s="101"/>
      <c r="O9" s="68" t="s">
        <v>263</v>
      </c>
      <c r="P9" s="107" t="n">
        <v>50</v>
      </c>
      <c r="R9" s="99"/>
      <c r="U9" s="81" t="n">
        <v>6</v>
      </c>
      <c r="V9" s="82" t="s">
        <v>264</v>
      </c>
      <c r="W9" s="83" t="s">
        <v>234</v>
      </c>
      <c r="X9" s="91" t="n">
        <v>0</v>
      </c>
      <c r="Y9" s="82" t="n">
        <v>0</v>
      </c>
      <c r="Z9" s="82" t="s">
        <v>235</v>
      </c>
      <c r="AA9" s="82" t="s">
        <v>235</v>
      </c>
      <c r="AB9" s="82" t="s">
        <v>265</v>
      </c>
      <c r="AC9" s="84"/>
    </row>
    <row r="10" customFormat="false" ht="15.65" hidden="false" customHeight="true" outlineLevel="0" collapsed="false">
      <c r="A10" s="62" t="s">
        <v>266</v>
      </c>
      <c r="B10" s="100" t="s">
        <v>267</v>
      </c>
      <c r="C10" s="101"/>
      <c r="D10" s="58" t="s">
        <v>268</v>
      </c>
      <c r="E10" s="58"/>
      <c r="F10" s="58"/>
      <c r="G10" s="58"/>
      <c r="H10" s="58"/>
      <c r="O10" s="68" t="s">
        <v>269</v>
      </c>
      <c r="P10" s="108" t="n">
        <f aca="false">-1*(0.00000000001*(8000+P8)*LN(1/2047))</f>
        <v>1.37234350541903E-006</v>
      </c>
      <c r="R10" s="109" t="s">
        <v>270</v>
      </c>
      <c r="S10" s="109"/>
      <c r="U10" s="81" t="n">
        <v>7</v>
      </c>
      <c r="V10" s="82" t="s">
        <v>271</v>
      </c>
      <c r="W10" s="83" t="s">
        <v>272</v>
      </c>
      <c r="X10" s="91" t="n">
        <v>1</v>
      </c>
      <c r="Y10" s="82" t="n">
        <v>1</v>
      </c>
      <c r="Z10" s="82" t="s">
        <v>258</v>
      </c>
      <c r="AA10" s="82" t="s">
        <v>273</v>
      </c>
      <c r="AB10" s="110" t="s">
        <v>274</v>
      </c>
      <c r="AC10" s="84" t="s">
        <v>275</v>
      </c>
    </row>
    <row r="11" customFormat="false" ht="12.8" hidden="false" customHeight="false" outlineLevel="0" collapsed="false">
      <c r="A11" s="62" t="s">
        <v>276</v>
      </c>
      <c r="B11" s="106" t="n">
        <f aca="false">HEX2DEC(B10)</f>
        <v>91</v>
      </c>
      <c r="D11" s="65" t="s">
        <v>218</v>
      </c>
      <c r="E11" s="66" t="n">
        <v>16000000</v>
      </c>
      <c r="F11" s="78"/>
      <c r="G11" s="78"/>
      <c r="H11" s="78"/>
      <c r="O11" s="68" t="s">
        <v>277</v>
      </c>
      <c r="P11" s="98" t="n">
        <f aca="false">(P9-25)*0.00000005</f>
        <v>1.25E-006</v>
      </c>
      <c r="R11" s="65" t="s">
        <v>278</v>
      </c>
      <c r="S11" s="111" t="n">
        <v>5</v>
      </c>
      <c r="U11" s="81" t="n">
        <v>8</v>
      </c>
      <c r="V11" s="82" t="s">
        <v>279</v>
      </c>
      <c r="W11" s="83" t="s">
        <v>280</v>
      </c>
      <c r="X11" s="91" t="n">
        <v>0</v>
      </c>
      <c r="Y11" s="82" t="n">
        <v>0</v>
      </c>
      <c r="Z11" s="82" t="s">
        <v>235</v>
      </c>
      <c r="AA11" s="82" t="s">
        <v>235</v>
      </c>
      <c r="AB11" s="82" t="s">
        <v>265</v>
      </c>
      <c r="AC11" s="84"/>
    </row>
    <row r="12" customFormat="false" ht="13.15" hidden="false" customHeight="false" outlineLevel="0" collapsed="false">
      <c r="A12" s="62" t="s">
        <v>281</v>
      </c>
      <c r="B12" s="100" t="s">
        <v>282</v>
      </c>
      <c r="D12" s="76" t="s">
        <v>230</v>
      </c>
      <c r="E12" s="77" t="n">
        <v>1</v>
      </c>
      <c r="F12" s="77" t="n">
        <v>2</v>
      </c>
      <c r="G12" s="77" t="n">
        <v>4</v>
      </c>
      <c r="H12" s="78" t="n">
        <v>8</v>
      </c>
      <c r="O12" s="88" t="s">
        <v>283</v>
      </c>
      <c r="P12" s="112" t="n">
        <f aca="false">P7+P10+P11</f>
        <v>4.62234350541903E-006</v>
      </c>
      <c r="R12" s="65" t="s">
        <v>284</v>
      </c>
      <c r="S12" s="113" t="n">
        <v>8</v>
      </c>
      <c r="U12" s="81" t="n">
        <v>9</v>
      </c>
      <c r="V12" s="82" t="s">
        <v>285</v>
      </c>
      <c r="W12" s="83" t="s">
        <v>286</v>
      </c>
      <c r="X12" s="91" t="n">
        <v>0</v>
      </c>
      <c r="Y12" s="82" t="n">
        <v>0</v>
      </c>
      <c r="Z12" s="82" t="s">
        <v>235</v>
      </c>
      <c r="AA12" s="82" t="s">
        <v>287</v>
      </c>
      <c r="AB12" s="82" t="s">
        <v>288</v>
      </c>
      <c r="AC12" s="84" t="s">
        <v>289</v>
      </c>
    </row>
    <row r="13" customFormat="false" ht="13.15" hidden="false" customHeight="false" outlineLevel="0" collapsed="false">
      <c r="A13" s="62" t="s">
        <v>290</v>
      </c>
      <c r="B13" s="114" t="n">
        <v>1</v>
      </c>
      <c r="D13" s="65" t="s">
        <v>237</v>
      </c>
      <c r="E13" s="86" t="n">
        <f aca="false">$E$11/E12</f>
        <v>16000000</v>
      </c>
      <c r="F13" s="86" t="n">
        <f aca="false">$E$11/F12</f>
        <v>8000000</v>
      </c>
      <c r="G13" s="86" t="n">
        <f aca="false">$E$11/G12</f>
        <v>4000000</v>
      </c>
      <c r="H13" s="86" t="n">
        <f aca="false">$E$11/H12</f>
        <v>2000000</v>
      </c>
      <c r="I13" s="115"/>
      <c r="O13" s="68"/>
      <c r="P13" s="94"/>
      <c r="R13" s="65" t="s">
        <v>291</v>
      </c>
      <c r="S13" s="116" t="str">
        <f aca="false">"0x"&amp;DEC2HEX(S12,2)</f>
        <v>0x08</v>
      </c>
      <c r="U13" s="81" t="n">
        <v>10</v>
      </c>
      <c r="V13" s="82" t="s">
        <v>292</v>
      </c>
      <c r="W13" s="83" t="s">
        <v>234</v>
      </c>
      <c r="X13" s="91" t="n">
        <v>0</v>
      </c>
      <c r="Y13" s="82" t="n">
        <v>0</v>
      </c>
      <c r="Z13" s="82" t="s">
        <v>235</v>
      </c>
      <c r="AA13" s="82" t="s">
        <v>293</v>
      </c>
      <c r="AB13" s="82" t="s">
        <v>294</v>
      </c>
      <c r="AC13" s="84"/>
    </row>
    <row r="14" customFormat="false" ht="12.8" hidden="false" customHeight="false" outlineLevel="0" collapsed="false">
      <c r="A14" s="62" t="s">
        <v>295</v>
      </c>
      <c r="B14" s="114" t="n">
        <v>0</v>
      </c>
      <c r="D14" s="65" t="s">
        <v>243</v>
      </c>
      <c r="E14" s="92" t="n">
        <f aca="false">1/E13</f>
        <v>6.25E-008</v>
      </c>
      <c r="F14" s="92" t="n">
        <f aca="false">1/F13</f>
        <v>1.25E-007</v>
      </c>
      <c r="G14" s="92" t="n">
        <f aca="false">1/G13</f>
        <v>2.5E-007</v>
      </c>
      <c r="H14" s="93" t="n">
        <f aca="false">1/H13</f>
        <v>5E-007</v>
      </c>
      <c r="I14" s="115"/>
      <c r="J14" s="101"/>
      <c r="K14" s="101"/>
      <c r="L14" s="115"/>
      <c r="O14" s="117" t="s">
        <v>296</v>
      </c>
      <c r="P14" s="118" t="n">
        <f aca="false">P5+P12</f>
        <v>1.6622343505419E-005</v>
      </c>
      <c r="R14" s="119" t="s">
        <v>297</v>
      </c>
      <c r="S14" s="120" t="n">
        <f aca="false">S11*S12/32</f>
        <v>1.25</v>
      </c>
      <c r="U14" s="81" t="n">
        <v>11</v>
      </c>
      <c r="V14" s="82" t="s">
        <v>298</v>
      </c>
      <c r="W14" s="83" t="s">
        <v>234</v>
      </c>
      <c r="X14" s="91" t="n">
        <v>1</v>
      </c>
      <c r="Y14" s="82" t="n">
        <v>1</v>
      </c>
      <c r="Z14" s="82" t="s">
        <v>258</v>
      </c>
      <c r="AA14" s="82" t="s">
        <v>299</v>
      </c>
      <c r="AB14" s="82" t="s">
        <v>300</v>
      </c>
      <c r="AC14" s="84" t="s">
        <v>301</v>
      </c>
    </row>
    <row r="15" customFormat="false" ht="12.8" hidden="false" customHeight="false" outlineLevel="0" collapsed="false">
      <c r="A15" s="62" t="s">
        <v>302</v>
      </c>
      <c r="B15" s="121" t="n">
        <f aca="false">((HEX2DEC(B8)+1)*B13)/B3</f>
        <v>6.625E-006</v>
      </c>
      <c r="C15" s="101"/>
      <c r="D15" s="76" t="s">
        <v>249</v>
      </c>
      <c r="E15" s="92" t="n">
        <f aca="false">E14*256</f>
        <v>1.6E-005</v>
      </c>
      <c r="F15" s="92" t="n">
        <f aca="false">F14*65536</f>
        <v>0.008192</v>
      </c>
      <c r="G15" s="92" t="n">
        <f aca="false">G14*65536</f>
        <v>0.016384</v>
      </c>
      <c r="H15" s="92" t="n">
        <f aca="false">H14*65536</f>
        <v>0.032768</v>
      </c>
      <c r="U15" s="81" t="n">
        <v>12</v>
      </c>
      <c r="V15" s="82" t="s">
        <v>303</v>
      </c>
      <c r="W15" s="83" t="s">
        <v>304</v>
      </c>
      <c r="X15" s="91" t="n">
        <v>1</v>
      </c>
      <c r="Y15" s="82" t="n">
        <v>1</v>
      </c>
      <c r="Z15" s="82" t="s">
        <v>235</v>
      </c>
      <c r="AA15" s="82" t="s">
        <v>305</v>
      </c>
      <c r="AB15" s="82" t="s">
        <v>306</v>
      </c>
      <c r="AC15" s="84"/>
    </row>
    <row r="16" customFormat="false" ht="12.8" hidden="false" customHeight="false" outlineLevel="0" collapsed="false">
      <c r="A16" s="62" t="s">
        <v>307</v>
      </c>
      <c r="B16" s="122" t="n">
        <f aca="false">1/B15</f>
        <v>150943.396226415</v>
      </c>
      <c r="D16" s="102" t="s">
        <v>255</v>
      </c>
      <c r="E16" s="123" t="n">
        <f aca="false">1/E15</f>
        <v>62500</v>
      </c>
      <c r="F16" s="123" t="n">
        <f aca="false">1/F15</f>
        <v>122.0703125</v>
      </c>
      <c r="G16" s="123" t="n">
        <f aca="false">1/G15</f>
        <v>61.03515625</v>
      </c>
      <c r="H16" s="124" t="n">
        <f aca="false">1/H15</f>
        <v>30.517578125</v>
      </c>
      <c r="U16" s="81" t="n">
        <v>13</v>
      </c>
      <c r="V16" s="82" t="s">
        <v>308</v>
      </c>
      <c r="W16" s="83" t="s">
        <v>309</v>
      </c>
      <c r="X16" s="91" t="n">
        <v>1</v>
      </c>
      <c r="Y16" s="82" t="n">
        <v>1</v>
      </c>
      <c r="Z16" s="82" t="s">
        <v>235</v>
      </c>
      <c r="AA16" s="82" t="s">
        <v>310</v>
      </c>
      <c r="AB16" s="82" t="s">
        <v>311</v>
      </c>
      <c r="AC16" s="84"/>
    </row>
    <row r="17" customFormat="false" ht="12.8" hidden="false" customHeight="false" outlineLevel="0" collapsed="false">
      <c r="A17" s="62" t="s">
        <v>312</v>
      </c>
      <c r="B17" s="125" t="n">
        <f aca="false">(HEX2DEC(B10)-HEX2DEC(B12))/(HEX2DEC(B8)+1)</f>
        <v>0.858490566037736</v>
      </c>
      <c r="C17" s="126"/>
      <c r="E17" s="127"/>
      <c r="O17" s="59" t="s">
        <v>313</v>
      </c>
      <c r="P17" s="59"/>
      <c r="R17" s="109" t="s">
        <v>314</v>
      </c>
      <c r="S17" s="109"/>
      <c r="U17" s="81" t="n">
        <v>14</v>
      </c>
      <c r="V17" s="82" t="s">
        <v>315</v>
      </c>
      <c r="W17" s="83" t="s">
        <v>316</v>
      </c>
      <c r="X17" s="91" t="n">
        <v>0</v>
      </c>
      <c r="Y17" s="82" t="n">
        <v>1</v>
      </c>
      <c r="Z17" s="82" t="s">
        <v>235</v>
      </c>
      <c r="AA17" s="82" t="s">
        <v>317</v>
      </c>
      <c r="AB17" s="82" t="s">
        <v>300</v>
      </c>
      <c r="AC17" s="84"/>
    </row>
    <row r="18" customFormat="false" ht="17.2" hidden="false" customHeight="true" outlineLevel="0" collapsed="false">
      <c r="A18" s="62" t="s">
        <v>318</v>
      </c>
      <c r="B18" s="128" t="n">
        <v>0.86</v>
      </c>
      <c r="D18" s="58" t="s">
        <v>319</v>
      </c>
      <c r="E18" s="58"/>
      <c r="F18" s="58"/>
      <c r="G18" s="58"/>
      <c r="H18" s="58"/>
      <c r="I18" s="58"/>
      <c r="J18" s="58"/>
      <c r="K18" s="58"/>
      <c r="L18" s="58"/>
      <c r="O18" s="129" t="s">
        <v>320</v>
      </c>
      <c r="P18" s="130" t="n">
        <v>25</v>
      </c>
      <c r="R18" s="65" t="s">
        <v>278</v>
      </c>
      <c r="S18" s="111" t="n">
        <f aca="false">1.024*4</f>
        <v>4.096</v>
      </c>
      <c r="U18" s="81" t="n">
        <v>15</v>
      </c>
      <c r="V18" s="82" t="s">
        <v>321</v>
      </c>
      <c r="W18" s="83" t="s">
        <v>322</v>
      </c>
      <c r="X18" s="91" t="n">
        <v>1</v>
      </c>
      <c r="Y18" s="82" t="n">
        <v>1</v>
      </c>
      <c r="Z18" s="82" t="s">
        <v>323</v>
      </c>
      <c r="AA18" s="82" t="s">
        <v>324</v>
      </c>
      <c r="AB18" s="82" t="s">
        <v>325</v>
      </c>
      <c r="AC18" s="131" t="s">
        <v>326</v>
      </c>
    </row>
    <row r="19" customFormat="false" ht="17.2" hidden="false" customHeight="false" outlineLevel="0" collapsed="false">
      <c r="A19" s="62" t="s">
        <v>327</v>
      </c>
      <c r="B19" s="132" t="str">
        <f aca="false">DEC2HEX(HEX2DEC(B12)+(B18*HEX2DEC(B8)),4)</f>
        <v>005A</v>
      </c>
      <c r="D19" s="65" t="s">
        <v>218</v>
      </c>
      <c r="E19" s="66" t="n">
        <v>4000000</v>
      </c>
      <c r="F19" s="78"/>
      <c r="G19" s="78"/>
      <c r="H19" s="78"/>
      <c r="I19" s="78"/>
      <c r="J19" s="78"/>
      <c r="K19" s="78"/>
      <c r="L19" s="78"/>
      <c r="O19" s="129" t="s">
        <v>328</v>
      </c>
      <c r="P19" s="133" t="n">
        <v>0.01</v>
      </c>
      <c r="R19" s="65" t="s">
        <v>329</v>
      </c>
      <c r="S19" s="113" t="n">
        <v>863</v>
      </c>
      <c r="U19" s="81" t="n">
        <v>16</v>
      </c>
      <c r="V19" s="82" t="s">
        <v>330</v>
      </c>
      <c r="W19" s="83" t="s">
        <v>331</v>
      </c>
      <c r="X19" s="91" t="n">
        <v>0</v>
      </c>
      <c r="Y19" s="82" t="n">
        <v>0</v>
      </c>
      <c r="Z19" s="82" t="s">
        <v>235</v>
      </c>
      <c r="AA19" s="82" t="s">
        <v>235</v>
      </c>
      <c r="AB19" s="82" t="s">
        <v>265</v>
      </c>
      <c r="AC19" s="84"/>
    </row>
    <row r="20" customFormat="false" ht="17.2" hidden="false" customHeight="false" outlineLevel="0" collapsed="false">
      <c r="A20" s="62" t="s">
        <v>332</v>
      </c>
      <c r="B20" s="134" t="n">
        <v>150000</v>
      </c>
      <c r="D20" s="76" t="s">
        <v>230</v>
      </c>
      <c r="E20" s="77" t="n">
        <v>1</v>
      </c>
      <c r="F20" s="77" t="n">
        <v>2</v>
      </c>
      <c r="G20" s="77" t="n">
        <v>4</v>
      </c>
      <c r="H20" s="77" t="n">
        <v>8</v>
      </c>
      <c r="I20" s="77" t="n">
        <v>16</v>
      </c>
      <c r="J20" s="77" t="n">
        <v>32</v>
      </c>
      <c r="K20" s="77" t="n">
        <v>64</v>
      </c>
      <c r="L20" s="78" t="n">
        <v>128</v>
      </c>
      <c r="O20" s="129" t="s">
        <v>333</v>
      </c>
      <c r="P20" s="133" t="n">
        <v>0.5</v>
      </c>
      <c r="R20" s="65" t="s">
        <v>291</v>
      </c>
      <c r="S20" s="116" t="str">
        <f aca="false">"0x"&amp;DEC2HEX(S19,4)</f>
        <v>0x035F</v>
      </c>
      <c r="U20" s="81" t="n">
        <v>17</v>
      </c>
      <c r="V20" s="82" t="s">
        <v>334</v>
      </c>
      <c r="W20" s="83" t="s">
        <v>335</v>
      </c>
      <c r="X20" s="91" t="n">
        <v>1</v>
      </c>
      <c r="Y20" s="82" t="n">
        <v>1</v>
      </c>
      <c r="Z20" s="82" t="s">
        <v>235</v>
      </c>
      <c r="AA20" s="82" t="s">
        <v>305</v>
      </c>
      <c r="AB20" s="82" t="s">
        <v>336</v>
      </c>
      <c r="AC20" s="84"/>
    </row>
    <row r="21" customFormat="false" ht="17.2" hidden="false" customHeight="false" outlineLevel="0" collapsed="false">
      <c r="A21" s="62" t="s">
        <v>337</v>
      </c>
      <c r="B21" s="74" t="n">
        <f aca="false">1/B20</f>
        <v>6.66666666666667E-006</v>
      </c>
      <c r="D21" s="65" t="s">
        <v>237</v>
      </c>
      <c r="E21" s="86" t="n">
        <f aca="false">$E$19/E20</f>
        <v>4000000</v>
      </c>
      <c r="F21" s="86" t="n">
        <f aca="false">$E$19/F20</f>
        <v>2000000</v>
      </c>
      <c r="G21" s="86" t="n">
        <f aca="false">$E$19/G20</f>
        <v>1000000</v>
      </c>
      <c r="H21" s="86" t="n">
        <f aca="false">$E$19/H20</f>
        <v>500000</v>
      </c>
      <c r="I21" s="86" t="n">
        <f aca="false">$E$19/I20</f>
        <v>250000</v>
      </c>
      <c r="J21" s="86" t="n">
        <f aca="false">$E$19/J20</f>
        <v>125000</v>
      </c>
      <c r="K21" s="86" t="n">
        <f aca="false">$E$19/K20</f>
        <v>62500</v>
      </c>
      <c r="L21" s="87" t="n">
        <f aca="false">$E$19/L20</f>
        <v>31250</v>
      </c>
      <c r="O21" s="135" t="s">
        <v>338</v>
      </c>
      <c r="P21" s="136" t="n">
        <f aca="false">(P19*P18)+P20</f>
        <v>0.75</v>
      </c>
      <c r="R21" s="119" t="s">
        <v>297</v>
      </c>
      <c r="S21" s="120" t="n">
        <f aca="false">S18*S19/1024</f>
        <v>3.452</v>
      </c>
      <c r="U21" s="81" t="n">
        <v>18</v>
      </c>
      <c r="V21" s="82" t="s">
        <v>339</v>
      </c>
      <c r="W21" s="83" t="s">
        <v>340</v>
      </c>
      <c r="X21" s="91" t="n">
        <v>0</v>
      </c>
      <c r="Y21" s="82" t="n">
        <v>0</v>
      </c>
      <c r="Z21" s="82" t="s">
        <v>235</v>
      </c>
      <c r="AA21" s="82" t="s">
        <v>341</v>
      </c>
      <c r="AB21" s="82" t="s">
        <v>342</v>
      </c>
      <c r="AC21" s="84"/>
    </row>
    <row r="22" customFormat="false" ht="12.8" hidden="false" customHeight="false" outlineLevel="0" collapsed="false">
      <c r="A22" s="137" t="s">
        <v>343</v>
      </c>
      <c r="B22" s="138" t="str">
        <f aca="false">DEC2HEX((((B21*B3)/B13)-1),4)</f>
        <v>0069</v>
      </c>
      <c r="D22" s="65" t="s">
        <v>243</v>
      </c>
      <c r="E22" s="92" t="n">
        <f aca="false">1/E21</f>
        <v>2.5E-007</v>
      </c>
      <c r="F22" s="92" t="n">
        <f aca="false">1/F21</f>
        <v>5E-007</v>
      </c>
      <c r="G22" s="92" t="n">
        <f aca="false">1/G21</f>
        <v>1E-006</v>
      </c>
      <c r="H22" s="92" t="n">
        <f aca="false">1/H21</f>
        <v>2E-006</v>
      </c>
      <c r="I22" s="92" t="n">
        <f aca="false">1/I21</f>
        <v>4E-006</v>
      </c>
      <c r="J22" s="92" t="n">
        <f aca="false">1/J21</f>
        <v>8E-006</v>
      </c>
      <c r="K22" s="92" t="n">
        <f aca="false">1/K21</f>
        <v>1.6E-005</v>
      </c>
      <c r="L22" s="93" t="n">
        <f aca="false">1/L21</f>
        <v>3.2E-005</v>
      </c>
      <c r="U22" s="81" t="n">
        <v>19</v>
      </c>
      <c r="V22" s="82" t="s">
        <v>344</v>
      </c>
      <c r="W22" s="83" t="s">
        <v>345</v>
      </c>
      <c r="X22" s="91" t="n">
        <v>1</v>
      </c>
      <c r="Y22" s="82" t="n">
        <v>0</v>
      </c>
      <c r="Z22" s="82" t="s">
        <v>235</v>
      </c>
      <c r="AA22" s="82" t="s">
        <v>341</v>
      </c>
      <c r="AB22" s="82" t="s">
        <v>346</v>
      </c>
      <c r="AC22" s="84"/>
    </row>
    <row r="23" customFormat="false" ht="12.8" hidden="false" customHeight="false" outlineLevel="0" collapsed="false">
      <c r="A23" s="0"/>
      <c r="B23" s="0"/>
      <c r="D23" s="76" t="s">
        <v>249</v>
      </c>
      <c r="E23" s="92" t="n">
        <f aca="false">E22*256</f>
        <v>6.4E-005</v>
      </c>
      <c r="F23" s="92" t="n">
        <f aca="false">F22*256</f>
        <v>0.000128</v>
      </c>
      <c r="G23" s="92" t="n">
        <f aca="false">G22*256</f>
        <v>0.000256</v>
      </c>
      <c r="H23" s="92" t="n">
        <f aca="false">H22*256</f>
        <v>0.000512</v>
      </c>
      <c r="I23" s="92" t="n">
        <f aca="false">I22*256</f>
        <v>0.001024</v>
      </c>
      <c r="J23" s="92" t="n">
        <f aca="false">J22*256</f>
        <v>0.002048</v>
      </c>
      <c r="K23" s="92" t="n">
        <f aca="false">K22*256</f>
        <v>0.004096</v>
      </c>
      <c r="L23" s="92" t="n">
        <f aca="false">L22*256</f>
        <v>0.008192</v>
      </c>
      <c r="U23" s="139" t="n">
        <v>20</v>
      </c>
      <c r="V23" s="140" t="s">
        <v>347</v>
      </c>
      <c r="W23" s="141" t="s">
        <v>234</v>
      </c>
      <c r="X23" s="140" t="s">
        <v>235</v>
      </c>
      <c r="Y23" s="140" t="s">
        <v>235</v>
      </c>
      <c r="Z23" s="140" t="s">
        <v>235</v>
      </c>
      <c r="AA23" s="140" t="s">
        <v>347</v>
      </c>
      <c r="AB23" s="140" t="s">
        <v>347</v>
      </c>
      <c r="AC23" s="142"/>
    </row>
    <row r="24" customFormat="false" ht="12.8" hidden="false" customHeight="false" outlineLevel="0" collapsed="false">
      <c r="A24" s="109" t="s">
        <v>348</v>
      </c>
      <c r="B24" s="109"/>
      <c r="D24" s="65" t="s">
        <v>349</v>
      </c>
      <c r="E24" s="143" t="n">
        <v>185</v>
      </c>
      <c r="F24" s="143" t="n">
        <v>185</v>
      </c>
      <c r="G24" s="143" t="n">
        <v>255</v>
      </c>
      <c r="H24" s="143" t="n">
        <v>250</v>
      </c>
      <c r="I24" s="143" t="n">
        <v>250</v>
      </c>
      <c r="J24" s="143" t="n">
        <v>255</v>
      </c>
      <c r="K24" s="143" t="n">
        <v>255</v>
      </c>
      <c r="L24" s="144" t="n">
        <v>255</v>
      </c>
    </row>
    <row r="25" customFormat="false" ht="12.8" hidden="false" customHeight="false" outlineLevel="0" collapsed="false">
      <c r="A25" s="145" t="s">
        <v>350</v>
      </c>
      <c r="B25" s="146" t="n">
        <v>16000000</v>
      </c>
      <c r="D25" s="76" t="s">
        <v>351</v>
      </c>
      <c r="E25" s="92" t="n">
        <f aca="false">(E24*E22)</f>
        <v>4.625E-005</v>
      </c>
      <c r="F25" s="92" t="n">
        <f aca="false">(F24*F22)</f>
        <v>9.25E-005</v>
      </c>
      <c r="G25" s="92" t="n">
        <f aca="false">(G24*G22)</f>
        <v>0.000255</v>
      </c>
      <c r="H25" s="92" t="n">
        <f aca="false">(H24*H22)</f>
        <v>0.0005</v>
      </c>
      <c r="I25" s="92" t="n">
        <f aca="false">(I24*I22)</f>
        <v>0.001</v>
      </c>
      <c r="J25" s="92" t="n">
        <f aca="false">(J24*J22)</f>
        <v>0.00204</v>
      </c>
      <c r="K25" s="92" t="n">
        <f aca="false">(K24*K22)</f>
        <v>0.00408</v>
      </c>
      <c r="L25" s="93" t="n">
        <f aca="false">(L24*L22)</f>
        <v>0.00816</v>
      </c>
    </row>
    <row r="26" customFormat="false" ht="22.25" hidden="false" customHeight="false" outlineLevel="0" collapsed="false">
      <c r="A26" s="145" t="s">
        <v>229</v>
      </c>
      <c r="B26" s="147" t="n">
        <f aca="false">1/B25</f>
        <v>6.25E-008</v>
      </c>
      <c r="D26" s="76" t="s">
        <v>352</v>
      </c>
      <c r="E26" s="143" t="n">
        <v>2</v>
      </c>
      <c r="F26" s="143" t="n">
        <v>1</v>
      </c>
      <c r="G26" s="143" t="n">
        <v>1</v>
      </c>
      <c r="H26" s="143" t="n">
        <v>1</v>
      </c>
      <c r="I26" s="143" t="n">
        <v>1</v>
      </c>
      <c r="J26" s="143" t="n">
        <v>1</v>
      </c>
      <c r="K26" s="143" t="n">
        <v>1</v>
      </c>
      <c r="L26" s="144" t="n">
        <v>1</v>
      </c>
    </row>
    <row r="27" customFormat="false" ht="12.8" hidden="false" customHeight="false" outlineLevel="0" collapsed="false">
      <c r="A27" s="145" t="s">
        <v>236</v>
      </c>
      <c r="B27" s="148" t="n">
        <f aca="false">B25/4</f>
        <v>4000000</v>
      </c>
      <c r="D27" s="76" t="s">
        <v>353</v>
      </c>
      <c r="E27" s="92" t="n">
        <f aca="false">E25*E26</f>
        <v>9.25E-005</v>
      </c>
      <c r="F27" s="92" t="n">
        <f aca="false">F25*F26</f>
        <v>9.25E-005</v>
      </c>
      <c r="G27" s="92" t="n">
        <f aca="false">G25*G26</f>
        <v>0.000255</v>
      </c>
      <c r="H27" s="92" t="n">
        <f aca="false">H25*H26</f>
        <v>0.0005</v>
      </c>
      <c r="I27" s="92" t="n">
        <f aca="false">I25*I26</f>
        <v>0.001</v>
      </c>
      <c r="J27" s="92" t="n">
        <f aca="false">J25*J26</f>
        <v>0.00204</v>
      </c>
      <c r="K27" s="92" t="n">
        <f aca="false">K25*K26</f>
        <v>0.00408</v>
      </c>
      <c r="L27" s="93" t="n">
        <f aca="false">L25*L26</f>
        <v>0.00816</v>
      </c>
      <c r="Z27" s="82"/>
      <c r="AA27" s="82"/>
      <c r="AB27" s="82"/>
      <c r="AC27" s="149"/>
    </row>
    <row r="28" customFormat="false" ht="12.8" hidden="false" customHeight="false" outlineLevel="0" collapsed="false">
      <c r="A28" s="145" t="s">
        <v>242</v>
      </c>
      <c r="B28" s="147" t="n">
        <f aca="false">1/B27</f>
        <v>2.5E-007</v>
      </c>
      <c r="D28" s="102" t="s">
        <v>255</v>
      </c>
      <c r="E28" s="150" t="n">
        <f aca="false">1/E27</f>
        <v>10810.8108108108</v>
      </c>
      <c r="F28" s="150" t="n">
        <f aca="false">1/F27</f>
        <v>10810.8108108108</v>
      </c>
      <c r="G28" s="150" t="n">
        <f aca="false">1/G27</f>
        <v>3921.56862745098</v>
      </c>
      <c r="H28" s="150" t="n">
        <f aca="false">1/H27</f>
        <v>2000</v>
      </c>
      <c r="I28" s="150" t="n">
        <f aca="false">1/I27</f>
        <v>1000</v>
      </c>
      <c r="J28" s="150" t="n">
        <f aca="false">1/J27</f>
        <v>490.196078431373</v>
      </c>
      <c r="K28" s="150" t="n">
        <f aca="false">1/K27</f>
        <v>245.098039215686</v>
      </c>
      <c r="L28" s="151" t="n">
        <f aca="false">1/L27</f>
        <v>122.549019607843</v>
      </c>
    </row>
    <row r="29" customFormat="false" ht="12.8" hidden="false" customHeight="false" outlineLevel="0" collapsed="false">
      <c r="A29" s="145" t="s">
        <v>354</v>
      </c>
      <c r="B29" s="152" t="n">
        <f aca="false">B33/B28</f>
        <v>40</v>
      </c>
    </row>
    <row r="30" customFormat="false" ht="12.8" hidden="false" customHeight="false" outlineLevel="0" collapsed="false">
      <c r="A30" s="145" t="s">
        <v>355</v>
      </c>
      <c r="B30" s="153" t="s">
        <v>356</v>
      </c>
      <c r="S30" s="154"/>
    </row>
    <row r="31" customFormat="false" ht="12.8" hidden="false" customHeight="false" outlineLevel="0" collapsed="false">
      <c r="A31" s="145" t="s">
        <v>290</v>
      </c>
      <c r="B31" s="155" t="n">
        <v>1</v>
      </c>
    </row>
    <row r="32" customFormat="false" ht="12.8" hidden="false" customHeight="false" outlineLevel="0" collapsed="false">
      <c r="A32" s="145" t="s">
        <v>295</v>
      </c>
      <c r="B32" s="155" t="n">
        <v>2</v>
      </c>
    </row>
    <row r="33" customFormat="false" ht="12.8" hidden="false" customHeight="false" outlineLevel="0" collapsed="false">
      <c r="A33" s="145" t="s">
        <v>357</v>
      </c>
      <c r="B33" s="156" t="n">
        <f aca="false">(HEX2DEC(B30)+1)*4*B26*B31</f>
        <v>1E-005</v>
      </c>
    </row>
    <row r="34" customFormat="false" ht="12.8" hidden="false" customHeight="false" outlineLevel="0" collapsed="false">
      <c r="A34" s="145" t="s">
        <v>358</v>
      </c>
      <c r="B34" s="157" t="n">
        <f aca="false">1/B33</f>
        <v>100000</v>
      </c>
    </row>
    <row r="35" customFormat="false" ht="12.8" hidden="false" customHeight="false" outlineLevel="0" collapsed="false">
      <c r="A35" s="145" t="s">
        <v>359</v>
      </c>
      <c r="B35" s="158" t="n">
        <f aca="false">ROUND(((LOG10(4*(HEX2DEC(B30)+1)))/LOG10(2)),0)</f>
        <v>7</v>
      </c>
    </row>
    <row r="36" customFormat="false" ht="12.8" hidden="false" customHeight="false" outlineLevel="0" collapsed="false">
      <c r="A36" s="145" t="s">
        <v>360</v>
      </c>
      <c r="B36" s="159" t="n">
        <f aca="false">POWER(2,B35)-B32</f>
        <v>126</v>
      </c>
    </row>
    <row r="37" customFormat="false" ht="12.8" hidden="false" customHeight="false" outlineLevel="0" collapsed="false">
      <c r="A37" s="145" t="s">
        <v>361</v>
      </c>
      <c r="B37" s="153" t="s">
        <v>362</v>
      </c>
    </row>
    <row r="38" customFormat="false" ht="12.8" hidden="false" customHeight="false" outlineLevel="0" collapsed="false">
      <c r="A38" s="145" t="s">
        <v>363</v>
      </c>
      <c r="B38" s="160" t="n">
        <f aca="false">HEX2DEC(B37)*B26*B31</f>
        <v>1E-006</v>
      </c>
    </row>
    <row r="39" customFormat="false" ht="12.8" hidden="false" customHeight="false" outlineLevel="0" collapsed="false">
      <c r="A39" s="161" t="s">
        <v>364</v>
      </c>
      <c r="B39" s="162" t="n">
        <f aca="false">B38/B33</f>
        <v>0.1</v>
      </c>
    </row>
  </sheetData>
  <mergeCells count="15">
    <mergeCell ref="A2:B2"/>
    <mergeCell ref="D2:M2"/>
    <mergeCell ref="O2:P2"/>
    <mergeCell ref="R2:S2"/>
    <mergeCell ref="U2:W2"/>
    <mergeCell ref="X2:AC2"/>
    <mergeCell ref="F3:M3"/>
    <mergeCell ref="D10:H10"/>
    <mergeCell ref="R10:S10"/>
    <mergeCell ref="F11:H11"/>
    <mergeCell ref="O17:P17"/>
    <mergeCell ref="R17:S17"/>
    <mergeCell ref="D18:L18"/>
    <mergeCell ref="F19:L19"/>
    <mergeCell ref="A24:B24"/>
  </mergeCells>
  <dataValidations count="1">
    <dataValidation allowBlank="true" operator="equal" showDropDown="false" showErrorMessage="true" showInputMessage="true" sqref="B13" type="list">
      <formula1>#REF!</formula1>
      <formula2>0</formula2>
    </dataValidation>
  </dataValidation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G43"/>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selection pane="topLeft" activeCell="C1" activeCellId="0" sqref="C1"/>
    </sheetView>
  </sheetViews>
  <sheetFormatPr defaultRowHeight="12.8" zeroHeight="false" outlineLevelRow="0" outlineLevelCol="0"/>
  <cols>
    <col collapsed="false" customWidth="true" hidden="false" outlineLevel="0" max="1" min="1" style="0" width="31.69"/>
    <col collapsed="false" customWidth="true" hidden="false" outlineLevel="0" max="2" min="2" style="0" width="27.55"/>
    <col collapsed="false" customWidth="true" hidden="false" outlineLevel="0" max="3" min="3" style="0" width="9.82"/>
    <col collapsed="false" customWidth="true" hidden="false" outlineLevel="0" max="4" min="4" style="0" width="24.46"/>
    <col collapsed="false" customWidth="true" hidden="false" outlineLevel="0" max="5" min="5" style="163" width="15.84"/>
    <col collapsed="false" customWidth="true" hidden="false" outlineLevel="0" max="6" min="6" style="0" width="8.52"/>
    <col collapsed="false" customWidth="true" hidden="false" outlineLevel="0" max="7" min="7" style="0" width="73.01"/>
    <col collapsed="false" customWidth="true" hidden="false" outlineLevel="0" max="1015" min="8" style="0" width="14.45"/>
    <col collapsed="false" customWidth="false" hidden="false" outlineLevel="0" max="1025" min="1016" style="0" width="11.52"/>
  </cols>
  <sheetData>
    <row r="1" customFormat="false" ht="15" hidden="false" customHeight="false" outlineLevel="0" collapsed="false">
      <c r="A1" s="164" t="s">
        <v>365</v>
      </c>
      <c r="B1" s="164"/>
      <c r="D1" s="164" t="s">
        <v>366</v>
      </c>
      <c r="E1" s="164"/>
      <c r="F1" s="164"/>
      <c r="G1" s="164"/>
    </row>
    <row r="2" customFormat="false" ht="16" hidden="false" customHeight="true" outlineLevel="0" collapsed="false">
      <c r="A2" s="165" t="s">
        <v>367</v>
      </c>
      <c r="B2" s="166" t="n">
        <v>1</v>
      </c>
      <c r="D2" s="167" t="s">
        <v>4</v>
      </c>
      <c r="E2" s="168" t="s">
        <v>5</v>
      </c>
      <c r="F2" s="168"/>
      <c r="G2" s="169" t="s">
        <v>368</v>
      </c>
    </row>
    <row r="3" customFormat="false" ht="12.8" hidden="false" customHeight="false" outlineLevel="0" collapsed="false">
      <c r="A3" s="170" t="s">
        <v>369</v>
      </c>
      <c r="B3" s="171" t="n">
        <v>100</v>
      </c>
      <c r="C3" s="163"/>
      <c r="D3" s="170" t="s">
        <v>370</v>
      </c>
      <c r="E3" s="172" t="n">
        <f aca="false">design!C8</f>
        <v>250</v>
      </c>
      <c r="F3" s="173"/>
      <c r="G3" s="174"/>
    </row>
    <row r="4" customFormat="false" ht="18.65" hidden="false" customHeight="false" outlineLevel="0" collapsed="false">
      <c r="A4" s="175" t="s">
        <v>371</v>
      </c>
      <c r="B4" s="176" t="n">
        <f aca="false">design!C37</f>
        <v>12.5484311250697</v>
      </c>
      <c r="C4" s="163"/>
      <c r="D4" s="170" t="s">
        <v>372</v>
      </c>
      <c r="E4" s="172" t="n">
        <f aca="false">design!C6</f>
        <v>62.8</v>
      </c>
      <c r="F4" s="173"/>
      <c r="G4" s="174"/>
    </row>
    <row r="5" customFormat="false" ht="12.8" hidden="false" customHeight="false" outlineLevel="0" collapsed="false">
      <c r="A5" s="170" t="s">
        <v>373</v>
      </c>
      <c r="B5" s="177" t="n">
        <f aca="false">B2/B3</f>
        <v>0.01</v>
      </c>
      <c r="C5" s="163"/>
      <c r="D5" s="170" t="s">
        <v>374</v>
      </c>
      <c r="E5" s="178" t="n">
        <f aca="false">design!C13</f>
        <v>4.28052873090884</v>
      </c>
      <c r="F5" s="173"/>
      <c r="G5" s="174"/>
    </row>
    <row r="6" customFormat="false" ht="18.75" hidden="false" customHeight="false" outlineLevel="0" collapsed="false">
      <c r="A6" s="175" t="s">
        <v>375</v>
      </c>
      <c r="B6" s="177" t="n">
        <f aca="false">B5*B4</f>
        <v>0.125484311250697</v>
      </c>
      <c r="D6" s="170" t="s">
        <v>376</v>
      </c>
      <c r="E6" s="172" t="n">
        <f aca="false">design!C7</f>
        <v>56</v>
      </c>
      <c r="F6" s="173"/>
      <c r="G6" s="174"/>
    </row>
    <row r="7" customFormat="false" ht="12.8" hidden="false" customHeight="false" outlineLevel="0" collapsed="false">
      <c r="A7" s="170" t="s">
        <v>377</v>
      </c>
      <c r="B7" s="179" t="n">
        <v>40.2</v>
      </c>
      <c r="D7" s="170" t="s">
        <v>378</v>
      </c>
      <c r="E7" s="178" t="n">
        <f aca="false">design!C9</f>
        <v>4.46428571428571</v>
      </c>
      <c r="F7" s="173"/>
      <c r="G7" s="174"/>
    </row>
    <row r="8" customFormat="false" ht="15" hidden="false" customHeight="false" outlineLevel="0" collapsed="false">
      <c r="A8" s="170" t="s">
        <v>379</v>
      </c>
      <c r="B8" s="180" t="n">
        <f aca="false">B6*B7</f>
        <v>5.04446931227802</v>
      </c>
      <c r="D8" s="181" t="s">
        <v>380</v>
      </c>
      <c r="E8" s="182" t="n">
        <f aca="false">E6/E7</f>
        <v>12.544</v>
      </c>
      <c r="F8" s="173"/>
      <c r="G8" s="174" t="s">
        <v>381</v>
      </c>
    </row>
    <row r="9" customFormat="false" ht="12.8" hidden="false" customHeight="false" outlineLevel="0" collapsed="false">
      <c r="A9" s="181" t="s">
        <v>382</v>
      </c>
      <c r="B9" s="183" t="n">
        <f aca="false">B8/B4</f>
        <v>0.402</v>
      </c>
      <c r="D9" s="170" t="s">
        <v>383</v>
      </c>
      <c r="E9" s="184" t="n">
        <f aca="false">design!C28</f>
        <v>5.80413441820007E-005</v>
      </c>
      <c r="F9" s="173"/>
      <c r="G9" s="174" t="s">
        <v>384</v>
      </c>
    </row>
    <row r="10" customFormat="false" ht="12.8" hidden="false" customHeight="false" outlineLevel="0" collapsed="false">
      <c r="A10" s="170" t="s">
        <v>385</v>
      </c>
      <c r="B10" s="177" t="n">
        <f aca="false">(POWER(B6,2)*B7)*(1-design!C22)</f>
        <v>0.332490049824049</v>
      </c>
      <c r="D10" s="170" t="s">
        <v>386</v>
      </c>
      <c r="E10" s="185" t="n">
        <f aca="false">design!C15</f>
        <v>150000</v>
      </c>
      <c r="F10" s="173"/>
      <c r="G10" s="174"/>
    </row>
    <row r="11" customFormat="false" ht="12.8" hidden="false" customHeight="false" outlineLevel="0" collapsed="false">
      <c r="A11" s="170" t="s">
        <v>387</v>
      </c>
      <c r="B11" s="90" t="s">
        <v>388</v>
      </c>
      <c r="D11" s="181" t="s">
        <v>389</v>
      </c>
      <c r="E11" s="186" t="n">
        <f aca="false">design!C22</f>
        <v>0.474740715958515</v>
      </c>
      <c r="F11" s="173"/>
      <c r="G11" s="174" t="s">
        <v>390</v>
      </c>
    </row>
    <row r="12" customFormat="false" ht="12.8" hidden="false" customHeight="false" outlineLevel="0" collapsed="false">
      <c r="A12" s="170" t="s">
        <v>391</v>
      </c>
      <c r="B12" s="90" t="s">
        <v>392</v>
      </c>
      <c r="D12" s="170" t="s">
        <v>393</v>
      </c>
      <c r="E12" s="187" t="n">
        <f aca="false">1/E10</f>
        <v>6.66666666666667E-006</v>
      </c>
      <c r="F12" s="173"/>
      <c r="G12" s="174"/>
    </row>
    <row r="13" customFormat="false" ht="13.15" hidden="false" customHeight="false" outlineLevel="0" collapsed="false">
      <c r="A13" s="170" t="s">
        <v>394</v>
      </c>
      <c r="B13" s="90" t="n">
        <v>19.73</v>
      </c>
      <c r="D13" s="170" t="s">
        <v>395</v>
      </c>
      <c r="E13" s="187" t="n">
        <f aca="false">E11*E12</f>
        <v>3.1649381063901E-006</v>
      </c>
      <c r="F13" s="173"/>
      <c r="G13" s="174"/>
    </row>
    <row r="14" customFormat="false" ht="13.15" hidden="false" customHeight="false" outlineLevel="0" collapsed="false">
      <c r="A14" s="170" t="s">
        <v>396</v>
      </c>
      <c r="B14" s="188" t="n">
        <v>6440</v>
      </c>
      <c r="D14" s="170" t="s">
        <v>397</v>
      </c>
      <c r="E14" s="187" t="n">
        <f aca="false">E12-E13</f>
        <v>3.50172856027657E-006</v>
      </c>
      <c r="F14" s="173"/>
      <c r="G14" s="174"/>
    </row>
    <row r="15" customFormat="false" ht="12.8" hidden="false" customHeight="false" outlineLevel="0" collapsed="false">
      <c r="A15" s="170" t="s">
        <v>398</v>
      </c>
      <c r="B15" s="189" t="n">
        <f aca="false">POWER(B3,2)*B14*POWER(10,-9)</f>
        <v>0.0644</v>
      </c>
      <c r="D15" s="170" t="s">
        <v>399</v>
      </c>
      <c r="E15" s="190" t="n">
        <f aca="false">((E6/E9)/POWER(10,6))</f>
        <v>0.964829481281488</v>
      </c>
      <c r="F15" s="173"/>
      <c r="G15" s="174" t="s">
        <v>400</v>
      </c>
    </row>
    <row r="16" customFormat="false" ht="12.8" hidden="false" customHeight="false" outlineLevel="0" collapsed="false">
      <c r="A16" s="170" t="s">
        <v>401</v>
      </c>
      <c r="B16" s="189" t="n">
        <f aca="false">B8/B15</f>
        <v>78.3302688241929</v>
      </c>
      <c r="D16" s="170" t="s">
        <v>402</v>
      </c>
      <c r="E16" s="190" t="n">
        <f aca="false">E15/2</f>
        <v>0.482414740640744</v>
      </c>
      <c r="F16" s="173"/>
      <c r="G16" s="174" t="s">
        <v>403</v>
      </c>
    </row>
    <row r="17" customFormat="false" ht="12.8" hidden="false" customHeight="false" outlineLevel="0" collapsed="false">
      <c r="A17" s="170" t="s">
        <v>404</v>
      </c>
      <c r="B17" s="191" t="n">
        <f aca="false">design!C19</f>
        <v>5.66806470940683E-006</v>
      </c>
      <c r="D17" s="170" t="s">
        <v>405</v>
      </c>
      <c r="E17" s="190" t="n">
        <f aca="false">$B$9*E15</f>
        <v>0.387861451475158</v>
      </c>
      <c r="F17" s="173"/>
      <c r="G17" s="174"/>
    </row>
    <row r="18" customFormat="false" ht="15" hidden="false" customHeight="false" outlineLevel="0" collapsed="false">
      <c r="A18" s="170" t="s">
        <v>406</v>
      </c>
      <c r="B18" s="192" t="n">
        <f aca="false">B17*B16</f>
        <v>0.000443981032400758</v>
      </c>
      <c r="D18" s="193" t="s">
        <v>407</v>
      </c>
      <c r="E18" s="194" t="n">
        <f aca="false">$B$9*E16</f>
        <v>0.193930725737579</v>
      </c>
      <c r="F18" s="173"/>
      <c r="G18" s="195" t="s">
        <v>408</v>
      </c>
    </row>
    <row r="19" customFormat="false" ht="12.8" hidden="false" customHeight="false" outlineLevel="0" collapsed="false">
      <c r="A19" s="170" t="s">
        <v>409</v>
      </c>
      <c r="B19" s="192" t="n">
        <f aca="false">B3*B18</f>
        <v>0.0443981032400758</v>
      </c>
      <c r="D19" s="170" t="s">
        <v>410</v>
      </c>
      <c r="E19" s="190" t="n">
        <f aca="false">(E14/POWER(10,-6))*E15</f>
        <v>3.37857095040021</v>
      </c>
      <c r="F19" s="173"/>
      <c r="G19" s="174" t="s">
        <v>411</v>
      </c>
    </row>
    <row r="20" customFormat="false" ht="12.8" hidden="false" customHeight="false" outlineLevel="0" collapsed="false">
      <c r="A20" s="170" t="s">
        <v>412</v>
      </c>
      <c r="B20" s="192" t="n">
        <f aca="false">(B8*B17*POWER(10,6))/(B3*B13)</f>
        <v>0.0144918289339122</v>
      </c>
      <c r="D20" s="170" t="s">
        <v>413</v>
      </c>
      <c r="E20" s="190" t="n">
        <f aca="false">design!C32</f>
        <v>10.4570259375581</v>
      </c>
      <c r="F20" s="190" t="n">
        <f aca="false">$B$9*E20</f>
        <v>4.20372442689835</v>
      </c>
      <c r="G20" s="174" t="s">
        <v>414</v>
      </c>
    </row>
    <row r="21" customFormat="false" ht="12.8" hidden="false" customHeight="false" outlineLevel="0" collapsed="false">
      <c r="A21" s="170" t="s">
        <v>415</v>
      </c>
      <c r="B21" s="171" t="n">
        <v>270000</v>
      </c>
      <c r="D21" s="170" t="s">
        <v>416</v>
      </c>
      <c r="E21" s="190" t="n">
        <f aca="false">E20-E19</f>
        <v>7.07845498715788</v>
      </c>
      <c r="F21" s="190" t="n">
        <f aca="false">$B$9*E21</f>
        <v>2.84553890483747</v>
      </c>
      <c r="G21" s="174"/>
    </row>
    <row r="22" customFormat="false" ht="12.8" hidden="false" customHeight="false" outlineLevel="0" collapsed="false">
      <c r="A22" s="170" t="s">
        <v>417</v>
      </c>
      <c r="B22" s="177" t="n">
        <f aca="false">B21*B18</f>
        <v>119.874878748205</v>
      </c>
      <c r="D22" s="170" t="s">
        <v>418</v>
      </c>
      <c r="E22" s="190" t="n">
        <f aca="false">(E20-E21)/(E13/POWER(10,-6))</f>
        <v>1.06749984891609</v>
      </c>
      <c r="F22" s="173"/>
      <c r="G22" s="174" t="s">
        <v>419</v>
      </c>
    </row>
    <row r="23" customFormat="false" ht="12.8" hidden="false" customHeight="false" outlineLevel="0" collapsed="false">
      <c r="A23" s="170" t="s">
        <v>420</v>
      </c>
      <c r="B23" s="196" t="n">
        <f aca="false">3*(B15/B21)</f>
        <v>7.15555555555556E-007</v>
      </c>
      <c r="D23" s="170" t="s">
        <v>421</v>
      </c>
      <c r="E23" s="190" t="n">
        <f aca="false">$B$9*E22</f>
        <v>0.429134939264269</v>
      </c>
      <c r="F23" s="173"/>
      <c r="G23" s="174"/>
    </row>
    <row r="24" customFormat="false" ht="12.8" hidden="false" customHeight="false" outlineLevel="0" collapsed="false">
      <c r="A24" s="170" t="s">
        <v>422</v>
      </c>
      <c r="B24" s="196" t="n">
        <f aca="false">design!C16-design!C19</f>
        <v>9.98601957259837E-007</v>
      </c>
      <c r="D24" s="181" t="s">
        <v>423</v>
      </c>
      <c r="E24" s="197" t="n">
        <v>0.2</v>
      </c>
      <c r="F24" s="173"/>
      <c r="G24" s="195" t="s">
        <v>424</v>
      </c>
    </row>
    <row r="25" customFormat="false" ht="12.8" hidden="false" customHeight="false" outlineLevel="0" collapsed="false">
      <c r="A25" s="170" t="s">
        <v>425</v>
      </c>
      <c r="B25" s="196" t="n">
        <f aca="false">B24-B23</f>
        <v>2.83046401704281E-007</v>
      </c>
      <c r="D25" s="181" t="s">
        <v>426</v>
      </c>
      <c r="E25" s="182" t="n">
        <f aca="false">(E13/POWER(10,-6))*E24</f>
        <v>0.632987621278019</v>
      </c>
      <c r="F25" s="173"/>
      <c r="G25" s="195" t="s">
        <v>427</v>
      </c>
    </row>
    <row r="26" customFormat="false" ht="12.8" hidden="false" customHeight="false" outlineLevel="0" collapsed="false">
      <c r="A26" s="198" t="s">
        <v>385</v>
      </c>
      <c r="B26" s="199" t="n">
        <f aca="false">(POWER(B18,2)*B21)*(B23/design!C16)</f>
        <v>0.00571251317367501</v>
      </c>
      <c r="D26" s="181" t="s">
        <v>428</v>
      </c>
      <c r="E26" s="197" t="n">
        <v>5</v>
      </c>
      <c r="F26" s="173"/>
      <c r="G26" s="174" t="s">
        <v>429</v>
      </c>
    </row>
    <row r="27" customFormat="false" ht="12.8" hidden="false" customHeight="false" outlineLevel="0" collapsed="false">
      <c r="A27" s="0" t="s">
        <v>430</v>
      </c>
      <c r="D27" s="181" t="s">
        <v>431</v>
      </c>
      <c r="E27" s="182" t="n">
        <f aca="false">E26-E25</f>
        <v>4.36701237872198</v>
      </c>
      <c r="F27" s="173"/>
      <c r="G27" s="195" t="s">
        <v>432</v>
      </c>
    </row>
    <row r="28" customFormat="false" ht="12.8" hidden="false" customHeight="false" outlineLevel="0" collapsed="false">
      <c r="A28" s="0" t="s">
        <v>433</v>
      </c>
      <c r="D28" s="181" t="s">
        <v>434</v>
      </c>
      <c r="E28" s="200" t="n">
        <f aca="false">(B9*E6)/(E27*2*PI()*E9)</f>
        <v>14135.5374987818</v>
      </c>
      <c r="F28" s="56"/>
      <c r="G28" s="174" t="s">
        <v>435</v>
      </c>
    </row>
    <row r="29" customFormat="false" ht="12.8" hidden="false" customHeight="false" outlineLevel="0" collapsed="false">
      <c r="D29" s="193" t="s">
        <v>436</v>
      </c>
      <c r="E29" s="201" t="n">
        <f aca="false">20*LOG10(E28)</f>
        <v>83.006246540652</v>
      </c>
      <c r="F29" s="56"/>
      <c r="G29" s="174" t="s">
        <v>435</v>
      </c>
    </row>
    <row r="30" customFormat="false" ht="12.8" hidden="false" customHeight="false" outlineLevel="0" collapsed="false">
      <c r="D30" s="193" t="s">
        <v>437</v>
      </c>
      <c r="E30" s="201" t="n">
        <f aca="false">E6/(design!C14*2*PI()*E9)</f>
        <v>17559.8215547182</v>
      </c>
      <c r="F30" s="56"/>
      <c r="G30" s="174" t="s">
        <v>438</v>
      </c>
    </row>
    <row r="31" customFormat="false" ht="12.8" hidden="false" customHeight="false" outlineLevel="0" collapsed="false">
      <c r="D31" s="193" t="s">
        <v>439</v>
      </c>
      <c r="E31" s="201" t="n">
        <f aca="false">20*LOG10((design!C14*B9)/E27)</f>
        <v>-1.88415542401281</v>
      </c>
      <c r="F31" s="56"/>
      <c r="G31" s="174" t="s">
        <v>440</v>
      </c>
    </row>
    <row r="32" customFormat="false" ht="90.2" hidden="false" customHeight="false" outlineLevel="0" collapsed="false">
      <c r="D32" s="202"/>
      <c r="E32" s="203"/>
      <c r="F32" s="203"/>
      <c r="G32" s="204" t="s">
        <v>441</v>
      </c>
    </row>
    <row r="34" customFormat="false" ht="12.8" hidden="false" customHeight="false" outlineLevel="0" collapsed="false">
      <c r="D34" s="205" t="s">
        <v>442</v>
      </c>
      <c r="E34" s="205"/>
    </row>
    <row r="35" customFormat="false" ht="12.8" hidden="false" customHeight="false" outlineLevel="0" collapsed="false">
      <c r="D35" s="206" t="s">
        <v>443</v>
      </c>
      <c r="E35" s="207" t="n">
        <v>0.001</v>
      </c>
    </row>
    <row r="36" customFormat="false" ht="12.8" hidden="false" customHeight="false" outlineLevel="0" collapsed="false">
      <c r="D36" s="206" t="s">
        <v>444</v>
      </c>
      <c r="E36" s="208" t="n">
        <f aca="false">(0.617/E35)+0.000015</f>
        <v>617.000015</v>
      </c>
    </row>
    <row r="37" customFormat="false" ht="12.8" hidden="false" customHeight="false" outlineLevel="0" collapsed="false">
      <c r="D37" s="206" t="s">
        <v>445</v>
      </c>
      <c r="E37" s="209" t="n">
        <v>619</v>
      </c>
    </row>
    <row r="38" customFormat="false" ht="12.8" hidden="false" customHeight="false" outlineLevel="0" collapsed="false">
      <c r="D38" s="206" t="s">
        <v>446</v>
      </c>
      <c r="E38" s="210" t="n">
        <f aca="false">(0.617/E37)+0.000015</f>
        <v>0.0010117689822294</v>
      </c>
    </row>
    <row r="39" customFormat="false" ht="12.8" hidden="false" customHeight="false" outlineLevel="0" collapsed="false">
      <c r="D39" s="206" t="s">
        <v>447</v>
      </c>
      <c r="E39" s="211" t="n">
        <v>1</v>
      </c>
    </row>
    <row r="40" customFormat="false" ht="12.8" hidden="false" customHeight="false" outlineLevel="0" collapsed="false">
      <c r="D40" s="206" t="s">
        <v>448</v>
      </c>
      <c r="E40" s="212" t="n">
        <f aca="false">(E38*0.000001)/E39</f>
        <v>1.0117689822294E-009</v>
      </c>
    </row>
    <row r="41" customFormat="false" ht="12.8" hidden="false" customHeight="false" outlineLevel="0" collapsed="false">
      <c r="D41" s="206" t="s">
        <v>449</v>
      </c>
      <c r="E41" s="213" t="n">
        <v>1000</v>
      </c>
    </row>
    <row r="42" customFormat="false" ht="12.8" hidden="false" customHeight="false" outlineLevel="0" collapsed="false">
      <c r="D42" s="206" t="s">
        <v>450</v>
      </c>
      <c r="E42" s="211" t="n">
        <v>0.2</v>
      </c>
    </row>
    <row r="43" customFormat="false" ht="12.8" hidden="false" customHeight="false" outlineLevel="0" collapsed="false">
      <c r="D43" s="202" t="s">
        <v>451</v>
      </c>
      <c r="E43" s="214" t="n">
        <f aca="false">(E41/(E42/E39))-E41</f>
        <v>4000</v>
      </c>
    </row>
  </sheetData>
  <mergeCells count="4">
    <mergeCell ref="A1:B1"/>
    <mergeCell ref="D1:G1"/>
    <mergeCell ref="E2:F2"/>
    <mergeCell ref="D34:E34"/>
  </mergeCell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L42"/>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6" width="14.45"/>
    <col collapsed="false" customWidth="true" hidden="false" outlineLevel="0" max="2" min="2" style="56" width="50.51"/>
    <col collapsed="false" customWidth="true" hidden="false" outlineLevel="0" max="3" min="3" style="56" width="23.28"/>
    <col collapsed="false" customWidth="true" hidden="false" outlineLevel="0" max="4" min="4" style="56" width="13.33"/>
    <col collapsed="false" customWidth="true" hidden="false" outlineLevel="0" max="5" min="5" style="56" width="13.7"/>
    <col collapsed="false" customWidth="true" hidden="false" outlineLevel="0" max="10" min="6" style="56" width="14.45"/>
    <col collapsed="false" customWidth="true" hidden="false" outlineLevel="0" max="11" min="11" style="56" width="22.27"/>
    <col collapsed="false" customWidth="true" hidden="false" outlineLevel="0" max="1025" min="12" style="56" width="14.45"/>
  </cols>
  <sheetData>
    <row r="1" customFormat="false" ht="12.8" hidden="false" customHeight="false" outlineLevel="0" collapsed="false">
      <c r="A1" s="215"/>
      <c r="B1" s="216" t="s">
        <v>452</v>
      </c>
      <c r="C1" s="216" t="s">
        <v>5</v>
      </c>
      <c r="D1" s="217" t="s">
        <v>6</v>
      </c>
      <c r="E1" s="217"/>
      <c r="F1" s="217"/>
      <c r="G1" s="217"/>
      <c r="H1" s="217"/>
    </row>
    <row r="2" customFormat="false" ht="16" hidden="false" customHeight="true" outlineLevel="0" collapsed="false">
      <c r="A2" s="218" t="s">
        <v>453</v>
      </c>
      <c r="B2" s="219" t="s">
        <v>454</v>
      </c>
      <c r="C2" s="220" t="n">
        <v>28</v>
      </c>
      <c r="D2" s="221"/>
      <c r="E2" s="222"/>
      <c r="F2" s="222"/>
      <c r="G2" s="222"/>
      <c r="H2" s="222"/>
    </row>
    <row r="3" customFormat="false" ht="12.8" hidden="false" customHeight="false" outlineLevel="0" collapsed="false">
      <c r="A3" s="218"/>
      <c r="B3" s="223" t="s">
        <v>455</v>
      </c>
      <c r="C3" s="224" t="n">
        <v>100</v>
      </c>
      <c r="D3" s="225"/>
      <c r="E3" s="222"/>
      <c r="F3" s="222"/>
      <c r="G3" s="222"/>
      <c r="H3" s="222"/>
      <c r="L3" s="101"/>
    </row>
    <row r="4" customFormat="false" ht="12.8" hidden="false" customHeight="false" outlineLevel="0" collapsed="false">
      <c r="A4" s="218"/>
      <c r="B4" s="223" t="s">
        <v>456</v>
      </c>
      <c r="C4" s="224" t="n">
        <v>1</v>
      </c>
      <c r="D4" s="225"/>
      <c r="E4" s="222"/>
      <c r="F4" s="222"/>
      <c r="G4" s="222"/>
      <c r="H4" s="222"/>
      <c r="L4" s="101"/>
    </row>
    <row r="5" customFormat="false" ht="12.8" hidden="false" customHeight="false" outlineLevel="0" collapsed="false">
      <c r="A5" s="218"/>
      <c r="B5" s="223" t="s">
        <v>457</v>
      </c>
      <c r="C5" s="226" t="n">
        <v>0</v>
      </c>
      <c r="D5" s="225"/>
      <c r="E5" s="222"/>
      <c r="F5" s="222"/>
      <c r="G5" s="222"/>
      <c r="H5" s="222"/>
      <c r="L5" s="101"/>
    </row>
    <row r="6" customFormat="false" ht="14.15" hidden="false" customHeight="false" outlineLevel="0" collapsed="false">
      <c r="A6" s="218"/>
      <c r="B6" s="227" t="s">
        <v>458</v>
      </c>
      <c r="C6" s="228" t="n">
        <f aca="false">VLOOKUP(C2,wireawg!$A$5:$L$44,8,0)</f>
        <v>0.00081</v>
      </c>
      <c r="D6" s="229"/>
      <c r="E6" s="222"/>
      <c r="F6" s="222"/>
      <c r="G6" s="222"/>
      <c r="H6" s="222"/>
    </row>
    <row r="7" customFormat="false" ht="12.8" hidden="false" customHeight="false" outlineLevel="0" collapsed="false">
      <c r="A7" s="218"/>
      <c r="B7" s="223" t="s">
        <v>459</v>
      </c>
      <c r="C7" s="230" t="n">
        <f aca="false">VLOOKUP(C2,wireawg!$A$5:$L$44,11,0)</f>
        <v>2129</v>
      </c>
      <c r="D7" s="229"/>
      <c r="E7" s="222"/>
      <c r="F7" s="222"/>
      <c r="G7" s="222"/>
      <c r="H7" s="222"/>
    </row>
    <row r="8" customFormat="false" ht="12.8" hidden="false" customHeight="false" outlineLevel="0" collapsed="false">
      <c r="A8" s="218"/>
      <c r="B8" s="231" t="s">
        <v>460</v>
      </c>
      <c r="C8" s="232" t="n">
        <f aca="false">VLOOKUP(C2,wireawg!$A$5:$L$44,4,0)</f>
        <v>0.373</v>
      </c>
      <c r="D8" s="233"/>
      <c r="E8" s="222"/>
      <c r="F8" s="222"/>
      <c r="G8" s="222"/>
      <c r="H8" s="222"/>
    </row>
    <row r="9" customFormat="false" ht="12.8" hidden="false" customHeight="false" outlineLevel="0" collapsed="false">
      <c r="A9" s="218"/>
      <c r="B9" s="234" t="s">
        <v>461</v>
      </c>
      <c r="C9" s="235" t="s">
        <v>462</v>
      </c>
      <c r="D9" s="236"/>
      <c r="E9" s="222"/>
      <c r="F9" s="222"/>
      <c r="G9" s="222"/>
      <c r="H9" s="222"/>
    </row>
    <row r="10" customFormat="false" ht="12.8" hidden="false" customHeight="false" outlineLevel="0" collapsed="false">
      <c r="A10" s="218"/>
      <c r="B10" s="223" t="s">
        <v>463</v>
      </c>
      <c r="C10" s="237" t="s">
        <v>464</v>
      </c>
      <c r="D10" s="229"/>
      <c r="E10" s="222"/>
      <c r="F10" s="222"/>
      <c r="G10" s="222"/>
      <c r="H10" s="222"/>
    </row>
    <row r="11" customFormat="false" ht="12.8" hidden="false" customHeight="false" outlineLevel="0" collapsed="false">
      <c r="A11" s="218"/>
      <c r="B11" s="223" t="s">
        <v>465</v>
      </c>
      <c r="C11" s="238" t="n">
        <f aca="false">17.2/10</f>
        <v>1.72</v>
      </c>
      <c r="D11" s="239" t="n">
        <f aca="false">C11+(C5*2)</f>
        <v>1.72</v>
      </c>
      <c r="E11" s="222"/>
      <c r="F11" s="222"/>
      <c r="G11" s="222"/>
      <c r="H11" s="222"/>
    </row>
    <row r="12" customFormat="false" ht="12.8" hidden="false" customHeight="false" outlineLevel="0" collapsed="false">
      <c r="A12" s="218"/>
      <c r="B12" s="223" t="s">
        <v>466</v>
      </c>
      <c r="C12" s="238" t="n">
        <f aca="false">8.5/10</f>
        <v>0.85</v>
      </c>
      <c r="D12" s="240" t="n">
        <f aca="false">C12-(C5*2)</f>
        <v>0.85</v>
      </c>
      <c r="E12" s="222"/>
      <c r="F12" s="222"/>
      <c r="G12" s="222"/>
      <c r="H12" s="222"/>
    </row>
    <row r="13" customFormat="false" ht="12.8" hidden="false" customHeight="false" outlineLevel="0" collapsed="false">
      <c r="A13" s="218"/>
      <c r="B13" s="223" t="s">
        <v>467</v>
      </c>
      <c r="C13" s="238" t="n">
        <f aca="false">7.3/10</f>
        <v>0.73</v>
      </c>
      <c r="D13" s="240" t="n">
        <f aca="false">C13+(C5*2)</f>
        <v>0.73</v>
      </c>
      <c r="E13" s="222"/>
      <c r="F13" s="222"/>
      <c r="G13" s="222"/>
      <c r="H13" s="222"/>
    </row>
    <row r="14" customFormat="false" ht="17.2" hidden="false" customHeight="false" outlineLevel="0" collapsed="false">
      <c r="A14" s="218"/>
      <c r="B14" s="227" t="s">
        <v>468</v>
      </c>
      <c r="C14" s="241" t="n">
        <v>6440</v>
      </c>
      <c r="D14" s="240"/>
      <c r="E14" s="222"/>
      <c r="F14" s="222"/>
      <c r="G14" s="222"/>
      <c r="H14" s="222"/>
    </row>
    <row r="15" customFormat="false" ht="12.8" hidden="false" customHeight="false" outlineLevel="0" collapsed="false">
      <c r="A15" s="218"/>
      <c r="B15" s="231" t="s">
        <v>469</v>
      </c>
      <c r="C15" s="242" t="n">
        <v>0.25</v>
      </c>
      <c r="D15" s="243"/>
      <c r="E15" s="222"/>
      <c r="F15" s="222"/>
      <c r="G15" s="222"/>
      <c r="H15" s="222"/>
    </row>
    <row r="16" customFormat="false" ht="12.8" hidden="false" customHeight="false" outlineLevel="0" collapsed="false">
      <c r="A16" s="218"/>
      <c r="B16" s="244" t="str">
        <f aca="false">"Design inductance, -"&amp;TEXT(C15,"#%")&amp;", H ="</f>
        <v>Design inductance, -25%, H =</v>
      </c>
      <c r="C16" s="245" t="n">
        <f aca="false">((C14*(1-C15))*POWER(10,-9))*POWER(C3,2)</f>
        <v>0.0483</v>
      </c>
      <c r="D16" s="246"/>
      <c r="E16" s="222"/>
      <c r="F16" s="222"/>
      <c r="G16" s="222"/>
      <c r="H16" s="222"/>
    </row>
    <row r="17" customFormat="false" ht="12.8" hidden="false" customHeight="false" outlineLevel="0" collapsed="false">
      <c r="A17" s="218"/>
      <c r="B17" s="223" t="s">
        <v>470</v>
      </c>
      <c r="C17" s="247" t="n">
        <f aca="false">PI()*D12</f>
        <v>2.67035375555132</v>
      </c>
      <c r="D17" s="229"/>
      <c r="E17" s="222"/>
      <c r="F17" s="222"/>
      <c r="G17" s="222"/>
      <c r="H17" s="222"/>
    </row>
    <row r="18" customFormat="false" ht="12.8" hidden="false" customHeight="false" outlineLevel="0" collapsed="false">
      <c r="A18" s="218"/>
      <c r="B18" s="248" t="str">
        <f aca="false">"Turns possible with "&amp;TEXT(C4,"#")&amp;" strands of "&amp;TEXT(C2,"#")&amp;" AWG ="</f>
        <v>Turns possible with 1 strands of 28 AWG =</v>
      </c>
      <c r="C18" s="247" t="n">
        <f aca="false">C17/((C8*C4)/10)</f>
        <v>71.5912535000354</v>
      </c>
      <c r="D18" s="229"/>
      <c r="E18" s="222"/>
      <c r="F18" s="222"/>
      <c r="G18" s="222"/>
      <c r="H18" s="222"/>
    </row>
    <row r="19" customFormat="false" ht="12.8" hidden="false" customHeight="false" outlineLevel="0" collapsed="false">
      <c r="A19" s="218"/>
      <c r="B19" s="223" t="s">
        <v>471</v>
      </c>
      <c r="C19" s="249" t="n">
        <f aca="false">(D11-D12)+2*D13</f>
        <v>2.33</v>
      </c>
      <c r="D19" s="229"/>
      <c r="E19" s="222"/>
      <c r="F19" s="222"/>
      <c r="G19" s="222"/>
      <c r="H19" s="222"/>
    </row>
    <row r="20" customFormat="false" ht="12.8" hidden="false" customHeight="false" outlineLevel="0" collapsed="false">
      <c r="A20" s="218"/>
      <c r="B20" s="223" t="s">
        <v>472</v>
      </c>
      <c r="C20" s="250" t="n">
        <f aca="false">(C4*C8)/10</f>
        <v>0.0373</v>
      </c>
      <c r="D20" s="225"/>
      <c r="E20" s="222"/>
      <c r="F20" s="222"/>
      <c r="G20" s="222"/>
      <c r="H20" s="222"/>
    </row>
    <row r="21" customFormat="false" ht="12.8" hidden="false" customHeight="false" outlineLevel="0" collapsed="false">
      <c r="A21" s="218"/>
      <c r="B21" s="248" t="str">
        <f aca="false">"Estimated wire len per strand using "&amp;TEXT(C2,"#")&amp;" AWG, cm ="</f>
        <v>Estimated wire len per strand using 28 AWG, cm =</v>
      </c>
      <c r="C21" s="249" t="n">
        <f aca="false">C19*C3</f>
        <v>233</v>
      </c>
      <c r="D21" s="229"/>
      <c r="E21" s="222"/>
      <c r="F21" s="222"/>
      <c r="G21" s="222"/>
      <c r="H21" s="222"/>
    </row>
    <row r="22" customFormat="false" ht="12.8" hidden="false" customHeight="false" outlineLevel="0" collapsed="false">
      <c r="A22" s="218"/>
      <c r="B22" s="251" t="s">
        <v>473</v>
      </c>
      <c r="C22" s="252" t="n">
        <f aca="false">(E24*C7*POWER(10,-6))/C4</f>
        <v>0.5052687572</v>
      </c>
      <c r="D22" s="253"/>
      <c r="E22" s="222"/>
      <c r="F22" s="222"/>
      <c r="G22" s="222"/>
      <c r="H22" s="222"/>
    </row>
    <row r="23" customFormat="false" ht="16" hidden="false" customHeight="true" outlineLevel="0" collapsed="false">
      <c r="A23" s="254" t="s">
        <v>474</v>
      </c>
      <c r="B23" s="255"/>
      <c r="C23" s="256"/>
      <c r="D23" s="257" t="s">
        <v>475</v>
      </c>
      <c r="E23" s="258" t="s">
        <v>476</v>
      </c>
      <c r="F23" s="256"/>
      <c r="G23" s="256"/>
      <c r="H23" s="259"/>
    </row>
    <row r="24" customFormat="false" ht="12.8" hidden="false" customHeight="false" outlineLevel="0" collapsed="false">
      <c r="A24" s="254"/>
      <c r="B24" s="260"/>
      <c r="C24" s="261"/>
      <c r="D24" s="262" t="n">
        <f aca="false">SUM(D25:D41)</f>
        <v>100</v>
      </c>
      <c r="E24" s="262" t="n">
        <f aca="false">SUM(E25:E41)</f>
        <v>237.3268</v>
      </c>
      <c r="F24" s="256"/>
      <c r="G24" s="256"/>
      <c r="H24" s="259"/>
    </row>
    <row r="25" customFormat="false" ht="12.8" hidden="false" customHeight="false" outlineLevel="0" collapsed="false">
      <c r="A25" s="254"/>
      <c r="B25" s="263" t="s">
        <v>477</v>
      </c>
      <c r="C25" s="264" t="n">
        <f aca="false">C19</f>
        <v>2.33</v>
      </c>
      <c r="D25" s="262"/>
      <c r="E25" s="265"/>
      <c r="F25" s="256"/>
      <c r="G25" s="256"/>
      <c r="H25" s="259"/>
    </row>
    <row r="26" customFormat="false" ht="12.8" hidden="false" customHeight="false" outlineLevel="0" collapsed="false">
      <c r="A26" s="254"/>
      <c r="B26" s="266" t="s">
        <v>478</v>
      </c>
      <c r="C26" s="264" t="n">
        <f aca="false">D12</f>
        <v>0.85</v>
      </c>
      <c r="D26" s="262"/>
      <c r="E26" s="265"/>
      <c r="F26" s="256"/>
      <c r="G26" s="256"/>
      <c r="H26" s="259"/>
    </row>
    <row r="27" customFormat="false" ht="12.8" hidden="false" customHeight="false" outlineLevel="0" collapsed="false">
      <c r="A27" s="254"/>
      <c r="B27" s="263" t="s">
        <v>479</v>
      </c>
      <c r="C27" s="264" t="n">
        <f aca="false">C26/2</f>
        <v>0.425</v>
      </c>
      <c r="D27" s="262"/>
      <c r="E27" s="265"/>
      <c r="F27" s="256"/>
      <c r="G27" s="256"/>
      <c r="H27" s="259"/>
    </row>
    <row r="28" customFormat="false" ht="12.8" hidden="false" customHeight="false" outlineLevel="0" collapsed="false">
      <c r="A28" s="254"/>
      <c r="B28" s="267" t="s">
        <v>480</v>
      </c>
      <c r="C28" s="264" t="n">
        <f aca="false">PI()*2*C27</f>
        <v>2.67035375555132</v>
      </c>
      <c r="D28" s="262"/>
      <c r="E28" s="265"/>
      <c r="F28" s="256"/>
      <c r="G28" s="256"/>
      <c r="H28" s="259"/>
    </row>
    <row r="29" customFormat="false" ht="12.8" hidden="false" customHeight="false" outlineLevel="0" collapsed="false">
      <c r="A29" s="254"/>
      <c r="B29" s="268" t="s">
        <v>481</v>
      </c>
      <c r="C29" s="269" t="n">
        <f aca="false">ROUNDDOWN(C28/C20,0)</f>
        <v>71</v>
      </c>
      <c r="D29" s="270" t="n">
        <f aca="false">ROUNDDOWN(IF(C29&lt;C3,C29,C3),0)</f>
        <v>71</v>
      </c>
      <c r="E29" s="271" t="n">
        <f aca="false">C25*D29</f>
        <v>165.43</v>
      </c>
      <c r="F29" s="256"/>
      <c r="G29" s="272"/>
      <c r="H29" s="259"/>
    </row>
    <row r="30" customFormat="false" ht="12.8" hidden="false" customHeight="false" outlineLevel="0" collapsed="false">
      <c r="A30" s="254"/>
      <c r="B30" s="266" t="s">
        <v>482</v>
      </c>
      <c r="C30" s="261" t="n">
        <f aca="false">C25+((C8/10)*4)</f>
        <v>2.4792</v>
      </c>
      <c r="D30" s="262"/>
      <c r="E30" s="265"/>
      <c r="F30" s="256"/>
      <c r="G30" s="256"/>
      <c r="H30" s="259"/>
    </row>
    <row r="31" customFormat="false" ht="12.8" hidden="false" customHeight="false" outlineLevel="0" collapsed="false">
      <c r="A31" s="254"/>
      <c r="B31" s="266" t="s">
        <v>483</v>
      </c>
      <c r="C31" s="261" t="n">
        <f aca="false">C27-(C8/10)</f>
        <v>0.3877</v>
      </c>
      <c r="D31" s="262"/>
      <c r="E31" s="265"/>
      <c r="F31" s="256"/>
      <c r="G31" s="256"/>
      <c r="H31" s="259"/>
    </row>
    <row r="32" customFormat="false" ht="12.8" hidden="false" customHeight="false" outlineLevel="0" collapsed="false">
      <c r="A32" s="254"/>
      <c r="B32" s="267" t="s">
        <v>484</v>
      </c>
      <c r="C32" s="261" t="n">
        <f aca="false">2*PI()*C31</f>
        <v>2.43599094359353</v>
      </c>
      <c r="D32" s="262"/>
      <c r="E32" s="265"/>
      <c r="F32" s="256"/>
      <c r="G32" s="256"/>
      <c r="H32" s="259"/>
    </row>
    <row r="33" customFormat="false" ht="12.8" hidden="false" customHeight="false" outlineLevel="0" collapsed="false">
      <c r="A33" s="254"/>
      <c r="B33" s="268" t="s">
        <v>485</v>
      </c>
      <c r="C33" s="269" t="n">
        <f aca="false">ROUNDDOWN(C32/C20,0)</f>
        <v>65</v>
      </c>
      <c r="D33" s="270" t="n">
        <f aca="false">ROUNDDOWN(IF(IF((C29+C33)&lt;C3,C33,C3-C29)&gt;0,IF((C29+C33)&lt;C3,C33,C3-C29),0),0)</f>
        <v>29</v>
      </c>
      <c r="E33" s="271" t="n">
        <f aca="false">C30*D33</f>
        <v>71.8968</v>
      </c>
      <c r="F33" s="256"/>
      <c r="G33" s="272"/>
      <c r="H33" s="259"/>
    </row>
    <row r="34" customFormat="false" ht="12.8" hidden="false" customHeight="false" outlineLevel="0" collapsed="false">
      <c r="A34" s="254"/>
      <c r="B34" s="266" t="s">
        <v>486</v>
      </c>
      <c r="C34" s="261" t="n">
        <f aca="false">C30+((C8/10)*4)</f>
        <v>2.6284</v>
      </c>
      <c r="D34" s="262"/>
      <c r="E34" s="265"/>
      <c r="F34" s="256"/>
      <c r="G34" s="256"/>
      <c r="H34" s="259"/>
    </row>
    <row r="35" customFormat="false" ht="12.8" hidden="false" customHeight="false" outlineLevel="0" collapsed="false">
      <c r="A35" s="254"/>
      <c r="B35" s="266" t="s">
        <v>487</v>
      </c>
      <c r="C35" s="264" t="n">
        <f aca="false">C31-(C8/10)</f>
        <v>0.3504</v>
      </c>
      <c r="D35" s="262"/>
      <c r="E35" s="265"/>
      <c r="F35" s="256"/>
      <c r="G35" s="256"/>
      <c r="H35" s="259"/>
    </row>
    <row r="36" customFormat="false" ht="12.8" hidden="false" customHeight="false" outlineLevel="0" collapsed="false">
      <c r="A36" s="254"/>
      <c r="B36" s="267" t="s">
        <v>488</v>
      </c>
      <c r="C36" s="264" t="n">
        <f aca="false">2*PI()*C35</f>
        <v>2.20162813163573</v>
      </c>
      <c r="D36" s="262"/>
      <c r="E36" s="265"/>
      <c r="F36" s="256"/>
      <c r="G36" s="256"/>
      <c r="H36" s="259"/>
    </row>
    <row r="37" customFormat="false" ht="12.8" hidden="false" customHeight="false" outlineLevel="0" collapsed="false">
      <c r="A37" s="254"/>
      <c r="B37" s="268" t="s">
        <v>489</v>
      </c>
      <c r="C37" s="273" t="n">
        <f aca="false">ROUNDDOWN(C36/C20,0)</f>
        <v>59</v>
      </c>
      <c r="D37" s="270" t="n">
        <f aca="false">ROUNDDOWN(IF(IF((C29+C33+C37)&lt;C3,C37,C3-(C29+C33))&gt;0,IF((C29+C33+C37)&lt;C3,C37,C3-(C29+C33)),0),0)</f>
        <v>0</v>
      </c>
      <c r="E37" s="271" t="n">
        <f aca="false">C34*D37</f>
        <v>0</v>
      </c>
      <c r="F37" s="256"/>
      <c r="G37" s="272"/>
      <c r="H37" s="259"/>
    </row>
    <row r="38" customFormat="false" ht="12.8" hidden="false" customHeight="false" outlineLevel="0" collapsed="false">
      <c r="A38" s="254"/>
      <c r="B38" s="266" t="s">
        <v>490</v>
      </c>
      <c r="C38" s="261" t="n">
        <f aca="false">C34+((C8/10)*4)</f>
        <v>2.7776</v>
      </c>
      <c r="D38" s="262"/>
      <c r="E38" s="265"/>
      <c r="F38" s="256"/>
      <c r="G38" s="256"/>
      <c r="H38" s="259"/>
    </row>
    <row r="39" customFormat="false" ht="12.8" hidden="false" customHeight="false" outlineLevel="0" collapsed="false">
      <c r="A39" s="254"/>
      <c r="B39" s="266" t="s">
        <v>491</v>
      </c>
      <c r="C39" s="264" t="n">
        <f aca="false">C35-(C8/10)</f>
        <v>0.3131</v>
      </c>
      <c r="D39" s="262"/>
      <c r="E39" s="265"/>
      <c r="F39" s="256"/>
      <c r="G39" s="256"/>
      <c r="H39" s="259"/>
    </row>
    <row r="40" customFormat="false" ht="12.8" hidden="false" customHeight="false" outlineLevel="0" collapsed="false">
      <c r="A40" s="254"/>
      <c r="B40" s="267" t="s">
        <v>492</v>
      </c>
      <c r="C40" s="264" t="n">
        <f aca="false">2*PI()*C39</f>
        <v>1.96726531967793</v>
      </c>
      <c r="D40" s="262"/>
      <c r="E40" s="265"/>
      <c r="F40" s="256"/>
      <c r="G40" s="256"/>
      <c r="H40" s="259"/>
    </row>
    <row r="41" customFormat="false" ht="12.8" hidden="false" customHeight="false" outlineLevel="0" collapsed="false">
      <c r="A41" s="254"/>
      <c r="B41" s="268" t="s">
        <v>493</v>
      </c>
      <c r="C41" s="273" t="n">
        <f aca="false">ROUNDDOWN(C40/C20,0)</f>
        <v>52</v>
      </c>
      <c r="D41" s="270" t="n">
        <f aca="false">ROUNDDOWN(IF(IF((C29+C33+C37+C41)&lt;C3,C41,C3-(C29+C33+C37))&gt;0,IF((C29+C33+C37+C41)&lt;C3,C41,C3-(C29+C33+C37)),0),0)</f>
        <v>0</v>
      </c>
      <c r="E41" s="271" t="n">
        <f aca="false">C38*D41</f>
        <v>0</v>
      </c>
      <c r="F41" s="256"/>
      <c r="G41" s="272"/>
      <c r="H41" s="259"/>
    </row>
    <row r="42" customFormat="false" ht="12.8" hidden="false" customHeight="false" outlineLevel="0" collapsed="false">
      <c r="A42" s="274"/>
      <c r="B42" s="275"/>
      <c r="C42" s="276"/>
      <c r="D42" s="275"/>
      <c r="E42" s="275"/>
      <c r="F42" s="275"/>
      <c r="G42" s="275"/>
      <c r="H42" s="277"/>
    </row>
  </sheetData>
  <mergeCells count="4">
    <mergeCell ref="D1:H1"/>
    <mergeCell ref="A2:A22"/>
    <mergeCell ref="E2:H22"/>
    <mergeCell ref="A23:A41"/>
  </mergeCell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F44"/>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selection pane="topLeft" activeCell="A2" activeCellId="0" sqref="A2"/>
    </sheetView>
  </sheetViews>
  <sheetFormatPr defaultRowHeight="12.8" zeroHeight="false" outlineLevelRow="0" outlineLevelCol="0"/>
  <cols>
    <col collapsed="false" customWidth="true" hidden="false" outlineLevel="0" max="1" min="1" style="56" width="57.62"/>
    <col collapsed="false" customWidth="true" hidden="false" outlineLevel="0" max="4" min="2" style="56" width="14.45"/>
    <col collapsed="false" customWidth="false" hidden="false" outlineLevel="0" max="5" min="5" style="56" width="11.52"/>
    <col collapsed="false" customWidth="true" hidden="false" outlineLevel="0" max="6" min="6" style="56" width="15.84"/>
    <col collapsed="false" customWidth="true" hidden="false" outlineLevel="0" max="1017" min="7" style="56" width="14.45"/>
    <col collapsed="false" customWidth="false" hidden="false" outlineLevel="0" max="1025" min="1018" style="0" width="11.52"/>
  </cols>
  <sheetData>
    <row r="1" customFormat="false" ht="12.8" hidden="false" customHeight="false" outlineLevel="0" collapsed="false">
      <c r="A1" s="72" t="s">
        <v>494</v>
      </c>
      <c r="B1" s="72"/>
      <c r="C1" s="72"/>
      <c r="D1" s="72"/>
      <c r="E1" s="72"/>
      <c r="F1" s="278"/>
    </row>
    <row r="3" customFormat="false" ht="12.8" hidden="false" customHeight="false" outlineLevel="0" collapsed="false">
      <c r="A3" s="279" t="s">
        <v>495</v>
      </c>
      <c r="B3" s="280" t="s">
        <v>496</v>
      </c>
      <c r="C3" s="281" t="s">
        <v>497</v>
      </c>
      <c r="E3" s="0"/>
      <c r="F3" s="0"/>
    </row>
    <row r="4" customFormat="false" ht="12.8" hidden="false" customHeight="false" outlineLevel="0" collapsed="false">
      <c r="A4" s="282" t="s">
        <v>498</v>
      </c>
      <c r="B4" s="283" t="n">
        <v>1</v>
      </c>
      <c r="C4" s="284" t="n">
        <f aca="false">v_slope!E29</f>
        <v>83.006246540652</v>
      </c>
      <c r="E4" s="0"/>
      <c r="F4" s="0"/>
    </row>
    <row r="5" customFormat="false" ht="12.8" hidden="false" customHeight="false" outlineLevel="0" collapsed="false">
      <c r="A5" s="282" t="s">
        <v>499</v>
      </c>
      <c r="B5" s="283" t="n">
        <f aca="false">B4*10</f>
        <v>10</v>
      </c>
      <c r="C5" s="284" t="n">
        <f aca="false">C4-(20*LOG10(B5/B4))</f>
        <v>63.006246540652</v>
      </c>
      <c r="E5" s="0"/>
      <c r="F5" s="0"/>
    </row>
    <row r="6" customFormat="false" ht="12.8" hidden="false" customHeight="false" outlineLevel="0" collapsed="false">
      <c r="A6" s="282" t="s">
        <v>499</v>
      </c>
      <c r="B6" s="283" t="n">
        <f aca="false">B5*10</f>
        <v>100</v>
      </c>
      <c r="C6" s="284" t="n">
        <f aca="false">C5-(20*LOG10(B6/B5))</f>
        <v>43.006246540652</v>
      </c>
      <c r="E6" s="0"/>
      <c r="F6" s="0"/>
    </row>
    <row r="7" customFormat="false" ht="12.8" hidden="false" customHeight="false" outlineLevel="0" collapsed="false">
      <c r="A7" s="282" t="s">
        <v>499</v>
      </c>
      <c r="B7" s="283" t="n">
        <f aca="false">B6*10</f>
        <v>1000</v>
      </c>
      <c r="C7" s="284" t="n">
        <f aca="false">C6-(20*LOG10(B7/B6))</f>
        <v>23.006246540652</v>
      </c>
      <c r="E7" s="0"/>
      <c r="F7" s="0"/>
    </row>
    <row r="8" customFormat="false" ht="12.8" hidden="false" customHeight="false" outlineLevel="0" collapsed="false">
      <c r="A8" s="285" t="s">
        <v>500</v>
      </c>
      <c r="B8" s="286" t="n">
        <v>10000</v>
      </c>
      <c r="C8" s="284" t="n">
        <f aca="false">C7-(20*LOG10(B8/B7))</f>
        <v>3.00624654065197</v>
      </c>
      <c r="E8" s="0"/>
      <c r="F8" s="0"/>
    </row>
    <row r="9" customFormat="false" ht="12.8" hidden="false" customHeight="false" outlineLevel="0" collapsed="false">
      <c r="A9" s="282" t="s">
        <v>499</v>
      </c>
      <c r="B9" s="283" t="n">
        <f aca="false">B7*10</f>
        <v>10000</v>
      </c>
      <c r="C9" s="284" t="n">
        <f aca="false">C8-(20*LOG10(B9/B8))</f>
        <v>3.00624654065197</v>
      </c>
      <c r="E9" s="0"/>
      <c r="F9" s="0"/>
    </row>
    <row r="10" customFormat="false" ht="12.8" hidden="false" customHeight="false" outlineLevel="0" collapsed="false">
      <c r="A10" s="282" t="s">
        <v>501</v>
      </c>
      <c r="B10" s="283" t="n">
        <f aca="false">v_slope!E30</f>
        <v>17559.8215547182</v>
      </c>
      <c r="C10" s="284" t="n">
        <f aca="false">C9-(20*LOG10(B10/B9))</f>
        <v>-1.88415542401281</v>
      </c>
      <c r="E10" s="0"/>
      <c r="F10" s="0"/>
    </row>
    <row r="11" customFormat="false" ht="12.8" hidden="false" customHeight="false" outlineLevel="0" collapsed="false">
      <c r="A11" s="282" t="s">
        <v>499</v>
      </c>
      <c r="B11" s="283" t="n">
        <f aca="false">B9*10</f>
        <v>100000</v>
      </c>
      <c r="C11" s="284" t="n">
        <f aca="false">C10</f>
        <v>-1.88415542401281</v>
      </c>
      <c r="E11" s="0"/>
      <c r="F11" s="0"/>
    </row>
    <row r="12" customFormat="false" ht="12.8" hidden="false" customHeight="false" outlineLevel="0" collapsed="false">
      <c r="A12" s="287" t="s">
        <v>502</v>
      </c>
      <c r="B12" s="288" t="n">
        <f aca="false">design!C15</f>
        <v>150000</v>
      </c>
      <c r="C12" s="289" t="n">
        <f aca="false">C11</f>
        <v>-1.88415542401281</v>
      </c>
      <c r="E12" s="0"/>
      <c r="F12" s="0"/>
    </row>
    <row r="13" customFormat="false" ht="12.8" hidden="false" customHeight="false" outlineLevel="0" collapsed="false">
      <c r="E13" s="0"/>
      <c r="F13" s="0"/>
    </row>
    <row r="14" customFormat="false" ht="12.8" hidden="false" customHeight="false" outlineLevel="0" collapsed="false">
      <c r="A14" s="279" t="s">
        <v>503</v>
      </c>
      <c r="B14" s="280" t="s">
        <v>5</v>
      </c>
      <c r="C14" s="281" t="s">
        <v>368</v>
      </c>
      <c r="D14" s="281"/>
      <c r="E14" s="281"/>
      <c r="F14" s="0"/>
    </row>
    <row r="15" customFormat="false" ht="12.8" hidden="false" customHeight="false" outlineLevel="0" collapsed="false">
      <c r="A15" s="282" t="s">
        <v>504</v>
      </c>
      <c r="B15" s="290" t="n">
        <v>1000</v>
      </c>
      <c r="C15" s="291" t="s">
        <v>505</v>
      </c>
      <c r="D15" s="291"/>
      <c r="E15" s="291"/>
      <c r="F15" s="0"/>
    </row>
    <row r="16" customFormat="false" ht="12.8" hidden="false" customHeight="false" outlineLevel="0" collapsed="false">
      <c r="A16" s="282" t="s">
        <v>506</v>
      </c>
      <c r="B16" s="292" t="n">
        <f aca="false">POWER(10,ABS(C8/20))</f>
        <v>1.41355374987818</v>
      </c>
      <c r="C16" s="291"/>
      <c r="D16" s="291"/>
      <c r="E16" s="291"/>
      <c r="F16" s="0"/>
    </row>
    <row r="17" customFormat="false" ht="12.8" hidden="false" customHeight="false" outlineLevel="0" collapsed="false">
      <c r="A17" s="282" t="s">
        <v>507</v>
      </c>
      <c r="B17" s="293" t="n">
        <f aca="false">IF(C8&lt;0,B15*B16,B15/B16)</f>
        <v>707.436841426216</v>
      </c>
      <c r="C17" s="291"/>
      <c r="D17" s="291"/>
      <c r="E17" s="291"/>
      <c r="F17" s="0"/>
    </row>
    <row r="18" customFormat="false" ht="12.8" hidden="false" customHeight="false" outlineLevel="0" collapsed="false">
      <c r="A18" s="282" t="s">
        <v>508</v>
      </c>
      <c r="B18" s="294" t="n">
        <v>698</v>
      </c>
      <c r="C18" s="291" t="s">
        <v>505</v>
      </c>
      <c r="D18" s="291"/>
      <c r="E18" s="291"/>
      <c r="F18" s="0"/>
    </row>
    <row r="19" customFormat="false" ht="12.8" hidden="false" customHeight="false" outlineLevel="0" collapsed="false">
      <c r="A19" s="282" t="s">
        <v>509</v>
      </c>
      <c r="B19" s="292" t="n">
        <f aca="false">20*LOG10(B18/B15)</f>
        <v>-3.12289154753678</v>
      </c>
      <c r="C19" s="295"/>
      <c r="D19" s="295"/>
      <c r="E19" s="295"/>
      <c r="F19" s="0"/>
    </row>
    <row r="20" customFormat="false" ht="12.8" hidden="false" customHeight="false" outlineLevel="0" collapsed="false">
      <c r="A20" s="282" t="s">
        <v>510</v>
      </c>
      <c r="B20" s="293" t="n">
        <f aca="false">IF(C8&lt;0,(B8-(ABS(C8)-B19)/(20/(B8-(B8/10)))),(B8-(ABS(C8)-B19)*(20/(B8-(B8/10)))))</f>
        <v>9999.98637969314</v>
      </c>
      <c r="C20" s="291"/>
      <c r="D20" s="291"/>
      <c r="E20" s="291"/>
      <c r="F20" s="0"/>
    </row>
    <row r="21" customFormat="false" ht="12.8" hidden="false" customHeight="false" outlineLevel="0" collapsed="false">
      <c r="A21" s="282" t="s">
        <v>511</v>
      </c>
      <c r="B21" s="294" t="n">
        <f aca="false">B8/2.5</f>
        <v>4000</v>
      </c>
      <c r="C21" s="291"/>
      <c r="D21" s="291"/>
      <c r="E21" s="291"/>
      <c r="F21" s="0"/>
    </row>
    <row r="22" customFormat="false" ht="12.8" hidden="false" customHeight="false" outlineLevel="0" collapsed="false">
      <c r="A22" s="282" t="s">
        <v>512</v>
      </c>
      <c r="B22" s="296" t="n">
        <f aca="false">1/(2*PI()*B18*B21)</f>
        <v>5.70039194455212E-008</v>
      </c>
      <c r="C22" s="295"/>
      <c r="D22" s="295"/>
      <c r="E22" s="295"/>
      <c r="F22" s="0"/>
    </row>
    <row r="23" customFormat="false" ht="12.8" hidden="false" customHeight="false" outlineLevel="0" collapsed="false">
      <c r="A23" s="282" t="s">
        <v>513</v>
      </c>
      <c r="B23" s="297" t="n">
        <v>5.6E-008</v>
      </c>
      <c r="C23" s="291" t="s">
        <v>514</v>
      </c>
      <c r="D23" s="291"/>
      <c r="E23" s="291"/>
      <c r="F23" s="0"/>
    </row>
    <row r="24" customFormat="false" ht="12.8" hidden="false" customHeight="false" outlineLevel="0" collapsed="false">
      <c r="A24" s="282" t="s">
        <v>515</v>
      </c>
      <c r="B24" s="293" t="n">
        <f aca="false">1/(2*PI()*B18*B23)</f>
        <v>4071.70853182295</v>
      </c>
      <c r="C24" s="291"/>
      <c r="D24" s="291"/>
      <c r="E24" s="291"/>
      <c r="F24" s="0"/>
    </row>
    <row r="25" customFormat="false" ht="12.8" hidden="false" customHeight="false" outlineLevel="0" collapsed="false">
      <c r="A25" s="282" t="s">
        <v>516</v>
      </c>
      <c r="B25" s="294" t="n">
        <f aca="false">B8*2.5</f>
        <v>25000</v>
      </c>
      <c r="C25" s="291"/>
      <c r="D25" s="291"/>
      <c r="E25" s="291"/>
      <c r="F25" s="0"/>
    </row>
    <row r="26" customFormat="false" ht="12.8" hidden="false" customHeight="false" outlineLevel="0" collapsed="false">
      <c r="A26" s="282" t="s">
        <v>517</v>
      </c>
      <c r="B26" s="298" t="n">
        <f aca="false">1/(2*PI()*B25*B18)</f>
        <v>9.1206271112834E-009</v>
      </c>
      <c r="C26" s="291"/>
      <c r="D26" s="291"/>
      <c r="E26" s="291"/>
      <c r="F26" s="0"/>
    </row>
    <row r="27" customFormat="false" ht="12.8" hidden="false" customHeight="false" outlineLevel="0" collapsed="false">
      <c r="A27" s="282" t="s">
        <v>518</v>
      </c>
      <c r="B27" s="299" t="n">
        <v>8.2E-009</v>
      </c>
      <c r="C27" s="291" t="s">
        <v>519</v>
      </c>
      <c r="D27" s="291"/>
      <c r="E27" s="291"/>
      <c r="F27" s="0"/>
    </row>
    <row r="28" customFormat="false" ht="12.8" hidden="false" customHeight="false" outlineLevel="0" collapsed="false">
      <c r="A28" s="300" t="s">
        <v>520</v>
      </c>
      <c r="B28" s="301" t="n">
        <f aca="false">1/(2*PI()*B27*B18)</f>
        <v>27806.789973425</v>
      </c>
      <c r="C28" s="302"/>
      <c r="D28" s="302"/>
      <c r="E28" s="302"/>
      <c r="F28" s="0"/>
    </row>
    <row r="29" customFormat="false" ht="12.8" hidden="false" customHeight="false" outlineLevel="0" collapsed="false">
      <c r="E29" s="0"/>
      <c r="F29" s="0"/>
    </row>
    <row r="30" customFormat="false" ht="12.8" hidden="false" customHeight="false" outlineLevel="0" collapsed="false">
      <c r="A30" s="279" t="s">
        <v>521</v>
      </c>
      <c r="B30" s="280" t="s">
        <v>496</v>
      </c>
      <c r="C30" s="281" t="s">
        <v>497</v>
      </c>
      <c r="E30" s="0"/>
      <c r="F30" s="0"/>
    </row>
    <row r="31" customFormat="false" ht="12.8" hidden="false" customHeight="false" outlineLevel="0" collapsed="false">
      <c r="A31" s="282" t="s">
        <v>498</v>
      </c>
      <c r="B31" s="303" t="n">
        <v>1</v>
      </c>
      <c r="C31" s="284" t="n">
        <f aca="false">C32+20*LOG10(B32/B31)</f>
        <v>69.0726420927137</v>
      </c>
    </row>
    <row r="32" customFormat="false" ht="12.8" hidden="false" customHeight="false" outlineLevel="0" collapsed="false">
      <c r="A32" s="282" t="str">
        <f aca="false">A24</f>
        <v>C1 zero using standard value, F_c1(z) =</v>
      </c>
      <c r="B32" s="303" t="n">
        <f aca="false">B24</f>
        <v>4071.70853182295</v>
      </c>
      <c r="C32" s="284" t="n">
        <f aca="false">B19</f>
        <v>-3.12289154753678</v>
      </c>
    </row>
    <row r="33" customFormat="false" ht="12.8" hidden="false" customHeight="false" outlineLevel="0" collapsed="false">
      <c r="A33" s="304" t="str">
        <f aca="false">A20</f>
        <v>Approximate Fco using standard value R2, Hz =</v>
      </c>
      <c r="B33" s="303" t="n">
        <f aca="false">B20</f>
        <v>9999.98637969314</v>
      </c>
      <c r="C33" s="284" t="n">
        <f aca="false">C32</f>
        <v>-3.12289154753678</v>
      </c>
    </row>
    <row r="34" customFormat="false" ht="12.8" hidden="false" customHeight="false" outlineLevel="0" collapsed="false">
      <c r="A34" s="282" t="str">
        <f aca="false">A28</f>
        <v>C2 pole frequency based on standard value, F =</v>
      </c>
      <c r="B34" s="303" t="n">
        <f aca="false">B28</f>
        <v>27806.789973425</v>
      </c>
      <c r="C34" s="284" t="n">
        <f aca="false">C33</f>
        <v>-3.12289154753678</v>
      </c>
    </row>
    <row r="35" customFormat="false" ht="12.8" hidden="false" customHeight="false" outlineLevel="0" collapsed="false">
      <c r="A35" s="305" t="str">
        <f aca="false">A12</f>
        <v>Switching frequency =</v>
      </c>
      <c r="B35" s="306" t="n">
        <f aca="false">B12</f>
        <v>150000</v>
      </c>
      <c r="C35" s="289" t="n">
        <f aca="false">C34-(20*LOG10(B35/B34))</f>
        <v>-17.7616995959503</v>
      </c>
    </row>
    <row r="37" customFormat="false" ht="12.8" hidden="false" customHeight="false" outlineLevel="0" collapsed="false">
      <c r="A37" s="279" t="s">
        <v>522</v>
      </c>
      <c r="B37" s="280" t="s">
        <v>496</v>
      </c>
      <c r="C37" s="280" t="s">
        <v>523</v>
      </c>
      <c r="D37" s="280" t="s">
        <v>524</v>
      </c>
      <c r="E37" s="281" t="s">
        <v>525</v>
      </c>
    </row>
    <row r="38" customFormat="false" ht="12.8" hidden="false" customHeight="false" outlineLevel="0" collapsed="false">
      <c r="A38" s="282" t="s">
        <v>498</v>
      </c>
      <c r="B38" s="303" t="n">
        <v>1</v>
      </c>
      <c r="C38" s="307" t="n">
        <f aca="false">C4</f>
        <v>83.006246540652</v>
      </c>
      <c r="D38" s="308" t="n">
        <f aca="false">C31</f>
        <v>69.0726420927137</v>
      </c>
      <c r="E38" s="284" t="n">
        <f aca="false">C38+D38</f>
        <v>152.078888633366</v>
      </c>
    </row>
    <row r="39" customFormat="false" ht="12.8" hidden="false" customHeight="false" outlineLevel="0" collapsed="false">
      <c r="A39" s="282" t="s">
        <v>526</v>
      </c>
      <c r="B39" s="303" t="n">
        <f aca="false">B38*10*10*10</f>
        <v>1000</v>
      </c>
      <c r="C39" s="307" t="n">
        <f aca="false">C38-(20*LOG10(B39/B38))</f>
        <v>23.006246540652</v>
      </c>
      <c r="D39" s="307" t="n">
        <f aca="false">D38-(20*LOG10(B39/B38))</f>
        <v>9.07264209271369</v>
      </c>
      <c r="E39" s="284" t="n">
        <f aca="false">C39+D39</f>
        <v>32.0788886333657</v>
      </c>
    </row>
    <row r="40" customFormat="false" ht="12.8" hidden="false" customHeight="false" outlineLevel="0" collapsed="false">
      <c r="A40" s="309" t="str">
        <f aca="false">A24</f>
        <v>C1 zero using standard value, F_c1(z) =</v>
      </c>
      <c r="B40" s="310" t="n">
        <f aca="false">B24</f>
        <v>4071.70853182295</v>
      </c>
      <c r="C40" s="307" t="n">
        <f aca="false">C39-(20*LOG10(B40/B39))</f>
        <v>10.8107129004015</v>
      </c>
      <c r="D40" s="307" t="n">
        <f aca="false">D39-(20*LOG10(B40/B39))</f>
        <v>-3.12289154753677</v>
      </c>
      <c r="E40" s="284" t="n">
        <f aca="false">C40+D40</f>
        <v>7.68782135286473</v>
      </c>
    </row>
    <row r="41" customFormat="false" ht="12.8" hidden="false" customHeight="false" outlineLevel="0" collapsed="false">
      <c r="A41" s="309" t="str">
        <f aca="false">A20</f>
        <v>Approximate Fco using standard value R2, Hz =</v>
      </c>
      <c r="B41" s="310" t="n">
        <f aca="false">B20</f>
        <v>9999.98637969314</v>
      </c>
      <c r="C41" s="307" t="n">
        <f aca="false">C40-(20*LOG10(B41/B40))</f>
        <v>3.00625837110825</v>
      </c>
      <c r="D41" s="308" t="n">
        <f aca="false">D40</f>
        <v>-3.12289154753677</v>
      </c>
      <c r="E41" s="284" t="n">
        <f aca="false">C41+D41</f>
        <v>-0.11663317642852</v>
      </c>
    </row>
    <row r="42" customFormat="false" ht="12.8" hidden="false" customHeight="false" outlineLevel="0" collapsed="false">
      <c r="A42" s="309" t="str">
        <f aca="false">A10</f>
        <v>Power circuit zero @ MPPT =</v>
      </c>
      <c r="B42" s="303" t="n">
        <f aca="false">v_slope!E30</f>
        <v>17559.8215547182</v>
      </c>
      <c r="C42" s="307" t="n">
        <f aca="false">C41-(20*LOG10(B42/B41))</f>
        <v>-1.88415542401281</v>
      </c>
      <c r="D42" s="308" t="n">
        <f aca="false">D40</f>
        <v>-3.12289154753677</v>
      </c>
      <c r="E42" s="284" t="n">
        <f aca="false">C42+D42</f>
        <v>-5.00704697154958</v>
      </c>
    </row>
    <row r="43" customFormat="false" ht="12.8" hidden="false" customHeight="false" outlineLevel="0" collapsed="false">
      <c r="A43" s="309" t="str">
        <f aca="false">A28</f>
        <v>C2 pole frequency based on standard value, F =</v>
      </c>
      <c r="B43" s="310" t="n">
        <f aca="false">B28</f>
        <v>27806.789973425</v>
      </c>
      <c r="C43" s="307" t="n">
        <f aca="false">C42-(20*LOG10(B43/B42))</f>
        <v>-5.87677059204817</v>
      </c>
      <c r="D43" s="308" t="n">
        <f aca="false">D40</f>
        <v>-3.12289154753677</v>
      </c>
      <c r="E43" s="284" t="n">
        <f aca="false">C43+D43</f>
        <v>-8.99966213958495</v>
      </c>
    </row>
    <row r="44" customFormat="false" ht="12.8" hidden="false" customHeight="false" outlineLevel="0" collapsed="false">
      <c r="A44" s="311" t="str">
        <f aca="false">A12</f>
        <v>Switching frequency =</v>
      </c>
      <c r="B44" s="306" t="n">
        <f aca="false">design!C15</f>
        <v>150000</v>
      </c>
      <c r="C44" s="312" t="n">
        <f aca="false">C43-(20*LOG10(B44/B43))</f>
        <v>-20.5155786404617</v>
      </c>
      <c r="D44" s="312" t="n">
        <f aca="false">D43-(20*LOG10(B44/B43))</f>
        <v>-17.7616995959503</v>
      </c>
      <c r="E44" s="289" t="n">
        <f aca="false">C44+D44</f>
        <v>-38.2772782364119</v>
      </c>
    </row>
  </sheetData>
  <mergeCells count="16">
    <mergeCell ref="A1:E1"/>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J38"/>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6" width="73.24"/>
    <col collapsed="false" customWidth="true" hidden="false" outlineLevel="0" max="2" min="2" style="56" width="15.74"/>
    <col collapsed="false" customWidth="true" hidden="false" outlineLevel="0" max="3" min="3" style="313" width="97.63"/>
    <col collapsed="false" customWidth="true" hidden="false" outlineLevel="0" max="1023" min="4" style="56" width="14.45"/>
    <col collapsed="false" customWidth="false" hidden="false" outlineLevel="0" max="1025" min="1024" style="56" width="11.52"/>
  </cols>
  <sheetData>
    <row r="1" customFormat="false" ht="15" hidden="false" customHeight="false" outlineLevel="0" collapsed="false">
      <c r="A1" s="314" t="s">
        <v>527</v>
      </c>
      <c r="B1" s="314"/>
      <c r="C1" s="314"/>
    </row>
    <row r="2" customFormat="false" ht="15" hidden="false" customHeight="false" outlineLevel="0" collapsed="false">
      <c r="A2" s="315" t="s">
        <v>452</v>
      </c>
      <c r="B2" s="315" t="s">
        <v>5</v>
      </c>
      <c r="C2" s="316" t="s">
        <v>6</v>
      </c>
    </row>
    <row r="3" customFormat="false" ht="12.8" hidden="false" customHeight="false" outlineLevel="0" collapsed="false">
      <c r="A3" s="317" t="s">
        <v>528</v>
      </c>
      <c r="B3" s="318" t="s">
        <v>529</v>
      </c>
      <c r="C3" s="319"/>
    </row>
    <row r="4" customFormat="false" ht="12.8" hidden="false" customHeight="false" outlineLevel="0" collapsed="false">
      <c r="A4" s="317" t="s">
        <v>530</v>
      </c>
      <c r="B4" s="320" t="s">
        <v>531</v>
      </c>
    </row>
    <row r="5" customFormat="false" ht="12.8" hidden="false" customHeight="false" outlineLevel="0" collapsed="false">
      <c r="A5" s="317" t="s">
        <v>532</v>
      </c>
      <c r="B5" s="321" t="n">
        <v>110</v>
      </c>
    </row>
    <row r="6" customFormat="false" ht="12.8" hidden="false" customHeight="false" outlineLevel="0" collapsed="false">
      <c r="A6" s="317" t="s">
        <v>533</v>
      </c>
      <c r="B6" s="321" t="n">
        <v>4200</v>
      </c>
    </row>
    <row r="7" customFormat="false" ht="12.8" hidden="false" customHeight="false" outlineLevel="0" collapsed="false">
      <c r="A7" s="317" t="s">
        <v>534</v>
      </c>
      <c r="B7" s="321" t="n">
        <v>1750</v>
      </c>
    </row>
    <row r="8" customFormat="false" ht="12.8" hidden="false" customHeight="false" outlineLevel="0" collapsed="false">
      <c r="A8" s="317" t="s">
        <v>535</v>
      </c>
      <c r="B8" s="322" t="n">
        <v>8E-009</v>
      </c>
      <c r="C8" s="313" t="s">
        <v>536</v>
      </c>
    </row>
    <row r="9" customFormat="false" ht="12.8" hidden="false" customHeight="false" outlineLevel="0" collapsed="false">
      <c r="A9" s="323" t="s">
        <v>537</v>
      </c>
      <c r="B9" s="322" t="n">
        <v>1.6E-008</v>
      </c>
      <c r="C9" s="313" t="s">
        <v>536</v>
      </c>
    </row>
    <row r="10" customFormat="false" ht="12.8" hidden="false" customHeight="false" outlineLevel="0" collapsed="false">
      <c r="A10" s="317" t="s">
        <v>538</v>
      </c>
      <c r="B10" s="324" t="n">
        <v>100</v>
      </c>
    </row>
    <row r="11" customFormat="false" ht="12.8" hidden="false" customHeight="false" outlineLevel="0" collapsed="false">
      <c r="A11" s="317" t="s">
        <v>539</v>
      </c>
      <c r="B11" s="325" t="n">
        <f aca="false">IF($B$3="Minimum",design!C4,IF($B$3="Nominal",design!C6,IF($B$3="Maximum",design!C5,0)))</f>
        <v>62.8</v>
      </c>
    </row>
    <row r="12" customFormat="false" ht="12.8" hidden="false" customHeight="false" outlineLevel="0" collapsed="false">
      <c r="A12" s="317" t="s">
        <v>540</v>
      </c>
      <c r="B12" s="326" t="n">
        <v>12</v>
      </c>
    </row>
    <row r="13" customFormat="false" ht="12.8" hidden="false" customHeight="false" outlineLevel="0" collapsed="false">
      <c r="A13" s="317" t="s">
        <v>541</v>
      </c>
      <c r="B13" s="327" t="n">
        <f aca="false">(POWER(10,-12)*B6*B12)/B8</f>
        <v>6.3</v>
      </c>
    </row>
    <row r="14" customFormat="false" ht="12.8" hidden="false" customHeight="false" outlineLevel="0" collapsed="false">
      <c r="A14" s="317" t="s">
        <v>542</v>
      </c>
      <c r="B14" s="327" t="n">
        <f aca="false">(B5*POWER(10,-12)*(B11+B12))/B8</f>
        <v>1.0285</v>
      </c>
    </row>
    <row r="15" customFormat="false" ht="12.8" hidden="false" customHeight="false" outlineLevel="0" collapsed="false">
      <c r="A15" s="317" t="s">
        <v>543</v>
      </c>
      <c r="B15" s="327" t="n">
        <f aca="false">B13+B14</f>
        <v>7.3285</v>
      </c>
    </row>
    <row r="16" customFormat="false" ht="12.8" hidden="false" customHeight="false" outlineLevel="0" collapsed="false">
      <c r="A16" s="317" t="s">
        <v>544</v>
      </c>
      <c r="B16" s="328" t="n">
        <f aca="false">B6*POWER(10,-12)+((B11/B12)*B5*POWER(10,-12))</f>
        <v>4.77566666666667E-009</v>
      </c>
    </row>
    <row r="17" customFormat="false" ht="22.25" hidden="false" customHeight="false" outlineLevel="0" collapsed="false">
      <c r="A17" s="317" t="s">
        <v>545</v>
      </c>
      <c r="B17" s="324" t="n">
        <v>3.3</v>
      </c>
      <c r="C17" s="329" t="s">
        <v>546</v>
      </c>
    </row>
    <row r="18" customFormat="false" ht="12.8" hidden="false" customHeight="false" outlineLevel="0" collapsed="false">
      <c r="A18" s="317" t="s">
        <v>547</v>
      </c>
      <c r="B18" s="330" t="n">
        <f aca="false">B17*B16</f>
        <v>1.57597E-008</v>
      </c>
    </row>
    <row r="19" customFormat="false" ht="17" hidden="false" customHeight="true" outlineLevel="0" collapsed="false">
      <c r="A19" s="317" t="s">
        <v>548</v>
      </c>
      <c r="B19" s="330" t="n">
        <f aca="false">B18*3</f>
        <v>4.72791E-008</v>
      </c>
    </row>
    <row r="20" customFormat="false" ht="12.8" hidden="false" customHeight="false" outlineLevel="0" collapsed="false">
      <c r="A20" s="317" t="s">
        <v>549</v>
      </c>
      <c r="B20" s="331" t="n">
        <f aca="false">B12/B17</f>
        <v>3.63636363636364</v>
      </c>
    </row>
    <row r="21" customFormat="false" ht="16" hidden="false" customHeight="true" outlineLevel="0" collapsed="false">
      <c r="A21" s="317" t="s">
        <v>550</v>
      </c>
      <c r="B21" s="327" t="n">
        <f aca="false">(B19/design!C16)*B20</f>
        <v>0.0257886</v>
      </c>
    </row>
    <row r="22" customFormat="false" ht="12.8" hidden="false" customHeight="false" outlineLevel="0" collapsed="false">
      <c r="A22" s="317" t="s">
        <v>551</v>
      </c>
      <c r="B22" s="331" t="n">
        <f aca="false">POWER(B20,2)*B17*(B19/design!C16)</f>
        <v>0.3094632</v>
      </c>
    </row>
    <row r="23" customFormat="false" ht="15" hidden="false" customHeight="false" outlineLevel="0" collapsed="false">
      <c r="A23" s="332" t="s">
        <v>552</v>
      </c>
      <c r="B23" s="332"/>
    </row>
    <row r="24" customFormat="false" ht="16" hidden="false" customHeight="true" outlineLevel="0" collapsed="false">
      <c r="A24" s="323" t="s">
        <v>553</v>
      </c>
      <c r="B24" s="328" t="n">
        <f aca="false">(design!C32*B9)/(2*(design!C4+design!C7))</f>
        <v>1.26751829546159E-009</v>
      </c>
      <c r="C24" s="333" t="s">
        <v>554</v>
      </c>
    </row>
    <row r="25" customFormat="false" ht="12.8" hidden="false" customHeight="false" outlineLevel="0" collapsed="false">
      <c r="A25" s="323" t="s">
        <v>555</v>
      </c>
      <c r="B25" s="334" t="n">
        <f aca="false">(0.5*(design!C22*design!C16))/B24</f>
        <v>1248.47827353748</v>
      </c>
      <c r="C25" s="333" t="s">
        <v>556</v>
      </c>
    </row>
    <row r="26" customFormat="false" ht="12.8" hidden="false" customHeight="false" outlineLevel="0" collapsed="false">
      <c r="A26" s="323" t="s">
        <v>557</v>
      </c>
      <c r="B26" s="335" t="n">
        <v>1.5E-009</v>
      </c>
      <c r="C26" s="336" t="s">
        <v>558</v>
      </c>
    </row>
    <row r="27" customFormat="false" ht="23.85" hidden="false" customHeight="false" outlineLevel="0" collapsed="false">
      <c r="A27" s="323" t="s">
        <v>559</v>
      </c>
      <c r="B27" s="337" t="n">
        <v>1000</v>
      </c>
      <c r="C27" s="338" t="s">
        <v>560</v>
      </c>
    </row>
    <row r="28" customFormat="false" ht="12.8" hidden="false" customHeight="false" outlineLevel="0" collapsed="false">
      <c r="A28" s="323" t="s">
        <v>561</v>
      </c>
      <c r="B28" s="339" t="n">
        <v>0.9</v>
      </c>
      <c r="C28" s="338" t="s">
        <v>562</v>
      </c>
    </row>
    <row r="29" customFormat="false" ht="33.4" hidden="false" customHeight="false" outlineLevel="0" collapsed="false">
      <c r="A29" s="323" t="s">
        <v>563</v>
      </c>
      <c r="B29" s="328" t="n">
        <f aca="false">0.5*B26*POWER((B11+design!C7),2)*design!C15</f>
        <v>1.587762</v>
      </c>
      <c r="C29" s="340" t="s">
        <v>564</v>
      </c>
    </row>
    <row r="30" customFormat="false" ht="12.8" hidden="false" customHeight="false" outlineLevel="0" collapsed="false">
      <c r="A30" s="323" t="s">
        <v>565</v>
      </c>
      <c r="B30" s="328" t="n">
        <f aca="false">(design!C32*B28)*(B8/design!C16)</f>
        <v>0.0112935880125627</v>
      </c>
      <c r="C30" s="340" t="s">
        <v>566</v>
      </c>
    </row>
    <row r="31" customFormat="false" ht="12.8" hidden="false" customHeight="false" outlineLevel="0" collapsed="false">
      <c r="A31" s="323" t="s">
        <v>567</v>
      </c>
      <c r="B31" s="328" t="n">
        <f aca="false">design!C32/(design!C16/B9)</f>
        <v>0.0250968622501394</v>
      </c>
      <c r="C31" s="340" t="s">
        <v>566</v>
      </c>
    </row>
    <row r="32" customFormat="false" ht="12.8" hidden="false" customHeight="false" outlineLevel="0" collapsed="false">
      <c r="A32" s="323" t="s">
        <v>568</v>
      </c>
      <c r="B32" s="328" t="n">
        <f aca="false">B26*B27</f>
        <v>1.5E-006</v>
      </c>
    </row>
    <row r="33" customFormat="false" ht="12.8" hidden="false" customHeight="false" outlineLevel="0" collapsed="false">
      <c r="A33" s="323" t="s">
        <v>569</v>
      </c>
      <c r="B33" s="328" t="n">
        <f aca="false">(design!C22*design!C16)-B32</f>
        <v>1.6649381063901E-006</v>
      </c>
    </row>
    <row r="34" customFormat="false" ht="12.8" hidden="false" customHeight="false" outlineLevel="0" collapsed="false">
      <c r="A34" s="323" t="s">
        <v>570</v>
      </c>
      <c r="B34" s="328" t="n">
        <f aca="false">((B26*(B11+design!C7))/design!C16)</f>
        <v>0.02673</v>
      </c>
      <c r="C34" s="313" t="s">
        <v>571</v>
      </c>
    </row>
    <row r="35" customFormat="false" ht="15" hidden="false" customHeight="false" outlineLevel="0" collapsed="false">
      <c r="A35" s="314" t="s">
        <v>572</v>
      </c>
      <c r="B35" s="314"/>
    </row>
    <row r="36" customFormat="false" ht="22.25" hidden="false" customHeight="false" outlineLevel="0" collapsed="false">
      <c r="A36" s="341" t="s">
        <v>573</v>
      </c>
      <c r="B36" s="342"/>
    </row>
    <row r="37" customFormat="false" ht="33.4" hidden="false" customHeight="false" outlineLevel="0" collapsed="false">
      <c r="A37" s="323" t="s">
        <v>574</v>
      </c>
      <c r="B37" s="343" t="n">
        <v>7E-009</v>
      </c>
      <c r="C37" s="313" t="s">
        <v>575</v>
      </c>
    </row>
    <row r="38" s="313" customFormat="true" ht="12.8" hidden="false" customHeight="false" outlineLevel="0" collapsed="false">
      <c r="A38" s="344" t="s">
        <v>576</v>
      </c>
      <c r="B38" s="345" t="n">
        <f aca="false">(design!C32/(B9))*B37</f>
        <v>4.57494884768167</v>
      </c>
      <c r="C38" s="313" t="s">
        <v>577</v>
      </c>
      <c r="AMJ38" s="56"/>
    </row>
  </sheetData>
  <mergeCells count="3">
    <mergeCell ref="A1:C1"/>
    <mergeCell ref="A23:B23"/>
    <mergeCell ref="A35:B35"/>
  </mergeCells>
  <dataValidations count="1">
    <dataValidation allowBlank="true" operator="equal" showDropDown="false" showErrorMessage="true" showInputMessage="true" sqref="B3" type="list">
      <formula1>"Minimum,Nominal,Maximum"</formula1>
      <formula2>0</formula2>
    </dataValidation>
  </dataValidation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L28"/>
  <sheetViews>
    <sheetView showFormulas="false" showGridLines="true" showRowColHeaders="true" showZeros="true" rightToLeft="false" tabSelected="false" showOutlineSymbols="true" defaultGridColor="true" view="normal" topLeftCell="B1" colorId="64" zoomScale="74" zoomScaleNormal="74" zoomScalePageLayoutView="100" workbookViewId="0">
      <selection pane="topLeft" activeCell="H1" activeCellId="0" sqref="H1"/>
    </sheetView>
  </sheetViews>
  <sheetFormatPr defaultRowHeight="12.8" zeroHeight="false" outlineLevelRow="0" outlineLevelCol="0"/>
  <cols>
    <col collapsed="false" customWidth="true" hidden="false" outlineLevel="0" max="1" min="1" style="56" width="38.86"/>
    <col collapsed="false" customWidth="true" hidden="false" outlineLevel="0" max="2" min="2" style="56" width="12.39"/>
    <col collapsed="false" customWidth="true" hidden="false" outlineLevel="0" max="3" min="3" style="56" width="3.94"/>
    <col collapsed="false" customWidth="true" hidden="false" outlineLevel="0" max="4" min="4" style="56" width="35.82"/>
    <col collapsed="false" customWidth="true" hidden="false" outlineLevel="0" max="5" min="5" style="56" width="11.45"/>
    <col collapsed="false" customWidth="true" hidden="false" outlineLevel="0" max="6" min="6" style="56" width="11.83"/>
    <col collapsed="false" customWidth="true" hidden="false" outlineLevel="0" max="7" min="7" style="346" width="57.08"/>
    <col collapsed="false" customWidth="true" hidden="false" outlineLevel="0" max="8" min="8" style="56" width="7.34"/>
    <col collapsed="false" customWidth="true" hidden="false" outlineLevel="0" max="9" min="9" style="56" width="43.93"/>
    <col collapsed="false" customWidth="true" hidden="false" outlineLevel="0" max="11" min="10" style="56" width="14.45"/>
    <col collapsed="false" customWidth="true" hidden="false" outlineLevel="0" max="12" min="12" style="56" width="54.26"/>
    <col collapsed="false" customWidth="true" hidden="false" outlineLevel="0" max="1017" min="13" style="56" width="14.45"/>
    <col collapsed="false" customWidth="false" hidden="false" outlineLevel="0" max="1025" min="1018" style="56" width="11.52"/>
  </cols>
  <sheetData>
    <row r="1" customFormat="false" ht="15" hidden="false" customHeight="false" outlineLevel="0" collapsed="false">
      <c r="A1" s="347" t="s">
        <v>578</v>
      </c>
      <c r="B1" s="347"/>
      <c r="C1" s="347"/>
      <c r="D1" s="347"/>
      <c r="E1" s="347"/>
      <c r="F1" s="347"/>
      <c r="G1" s="347"/>
      <c r="I1" s="205" t="s">
        <v>579</v>
      </c>
      <c r="J1" s="205"/>
      <c r="K1" s="205"/>
      <c r="L1" s="205"/>
    </row>
    <row r="2" customFormat="false" ht="15" hidden="false" customHeight="false" outlineLevel="0" collapsed="false">
      <c r="A2" s="348" t="s">
        <v>580</v>
      </c>
      <c r="B2" s="348"/>
      <c r="C2" s="348"/>
      <c r="D2" s="349" t="s">
        <v>581</v>
      </c>
      <c r="E2" s="349"/>
      <c r="F2" s="349"/>
      <c r="G2" s="349"/>
      <c r="I2" s="350" t="s">
        <v>582</v>
      </c>
      <c r="J2" s="351" t="s">
        <v>583</v>
      </c>
      <c r="K2" s="352" t="s">
        <v>584</v>
      </c>
      <c r="L2" s="353" t="s">
        <v>6</v>
      </c>
    </row>
    <row r="3" customFormat="false" ht="15" hidden="false" customHeight="false" outlineLevel="0" collapsed="false">
      <c r="A3" s="354" t="s">
        <v>585</v>
      </c>
      <c r="B3" s="355" t="str">
        <f aca="false">switch!B4</f>
        <v>SQP90142E</v>
      </c>
      <c r="C3" s="356"/>
      <c r="D3" s="357"/>
      <c r="E3" s="332" t="s">
        <v>586</v>
      </c>
      <c r="F3" s="332" t="s">
        <v>587</v>
      </c>
      <c r="G3" s="358" t="s">
        <v>6</v>
      </c>
      <c r="I3" s="359" t="s">
        <v>588</v>
      </c>
      <c r="J3" s="149" t="n">
        <v>1.139</v>
      </c>
      <c r="K3" s="360" t="n">
        <v>2.5</v>
      </c>
      <c r="L3" s="174" t="s">
        <v>589</v>
      </c>
    </row>
    <row r="4" customFormat="false" ht="12.8" hidden="false" customHeight="false" outlineLevel="0" collapsed="false">
      <c r="A4" s="354" t="s">
        <v>590</v>
      </c>
      <c r="B4" s="361" t="n">
        <v>0.031</v>
      </c>
      <c r="C4" s="356"/>
      <c r="D4" s="359" t="s">
        <v>591</v>
      </c>
      <c r="E4" s="362" t="n">
        <v>0.6</v>
      </c>
      <c r="F4" s="362" t="n">
        <v>0.6</v>
      </c>
      <c r="G4" s="363"/>
      <c r="I4" s="359" t="s">
        <v>592</v>
      </c>
      <c r="J4" s="292" t="n">
        <f aca="false">design!C79</f>
        <v>0.887981769527447</v>
      </c>
      <c r="K4" s="292" t="n">
        <f aca="false">design!C79</f>
        <v>0.887981769527447</v>
      </c>
      <c r="L4" s="174"/>
    </row>
    <row r="5" customFormat="false" ht="12.8" hidden="false" customHeight="false" outlineLevel="0" collapsed="false">
      <c r="A5" s="354" t="s">
        <v>593</v>
      </c>
      <c r="B5" s="364" t="n">
        <f aca="false">switch!B8</f>
        <v>8E-009</v>
      </c>
      <c r="C5" s="356"/>
      <c r="D5" s="359"/>
      <c r="E5" s="362"/>
      <c r="F5" s="362"/>
      <c r="G5" s="363"/>
      <c r="I5" s="359" t="s">
        <v>594</v>
      </c>
      <c r="J5" s="292" t="n">
        <f aca="false">v_slope!B10</f>
        <v>0.332490049824049</v>
      </c>
      <c r="K5" s="292" t="n">
        <f aca="false">v_slope!B10</f>
        <v>0.332490049824049</v>
      </c>
      <c r="L5" s="174"/>
    </row>
    <row r="6" customFormat="false" ht="22.25" hidden="false" customHeight="false" outlineLevel="0" collapsed="false">
      <c r="A6" s="354" t="s">
        <v>595</v>
      </c>
      <c r="B6" s="364" t="n">
        <f aca="false">switch!B9</f>
        <v>1.6E-008</v>
      </c>
      <c r="C6" s="356"/>
      <c r="D6" s="359" t="s">
        <v>596</v>
      </c>
      <c r="E6" s="362" t="n">
        <f aca="false">15.467</f>
        <v>15.467</v>
      </c>
      <c r="F6" s="362" t="n">
        <f aca="false">5.25</f>
        <v>5.25</v>
      </c>
      <c r="G6" s="363" t="s">
        <v>597</v>
      </c>
      <c r="I6" s="359" t="s">
        <v>598</v>
      </c>
      <c r="J6" s="292" t="n">
        <v>0</v>
      </c>
      <c r="K6" s="292" t="n">
        <f aca="false">0.3*3</f>
        <v>0.9</v>
      </c>
      <c r="L6" s="174" t="s">
        <v>599</v>
      </c>
    </row>
    <row r="7" customFormat="false" ht="12.8" hidden="false" customHeight="false" outlineLevel="0" collapsed="false">
      <c r="A7" s="354" t="s">
        <v>600</v>
      </c>
      <c r="B7" s="365" t="n">
        <f aca="false">design!C6+design!C7</f>
        <v>118.8</v>
      </c>
      <c r="C7" s="356"/>
      <c r="D7" s="359" t="s">
        <v>601</v>
      </c>
      <c r="E7" s="307" t="n">
        <f aca="false">SUM(E4:E6)</f>
        <v>16.067</v>
      </c>
      <c r="F7" s="307" t="n">
        <f aca="false">SUM(F4:F6)</f>
        <v>5.85</v>
      </c>
      <c r="G7" s="363"/>
      <c r="I7" s="359" t="s">
        <v>602</v>
      </c>
      <c r="J7" s="292" t="n">
        <f aca="false">switch!B22</f>
        <v>0.3094632</v>
      </c>
      <c r="K7" s="292" t="n">
        <f aca="false">switch!B22</f>
        <v>0.3094632</v>
      </c>
      <c r="L7" s="174"/>
    </row>
    <row r="8" customFormat="false" ht="17.2" hidden="false" customHeight="false" outlineLevel="0" collapsed="false">
      <c r="A8" s="366" t="s">
        <v>603</v>
      </c>
      <c r="B8" s="367" t="n">
        <f aca="false">design!C35</f>
        <v>9.73336021122022</v>
      </c>
      <c r="C8" s="356"/>
      <c r="D8" s="359" t="s">
        <v>604</v>
      </c>
      <c r="E8" s="307" t="n">
        <f aca="false">E7*B16</f>
        <v>63.7741243495982</v>
      </c>
      <c r="F8" s="307" t="n">
        <f aca="false">F7*B16</f>
        <v>23.2201797127746</v>
      </c>
      <c r="G8" s="363"/>
      <c r="I8" s="359" t="s">
        <v>605</v>
      </c>
      <c r="J8" s="292" t="n">
        <f aca="false">switch!B29</f>
        <v>1.587762</v>
      </c>
      <c r="K8" s="360" t="n">
        <f aca="false">0.5*switch!B26*POWER((200),2)*design!C15</f>
        <v>4.5</v>
      </c>
      <c r="L8" s="174" t="s">
        <v>606</v>
      </c>
    </row>
    <row r="9" customFormat="false" ht="17.2" hidden="false" customHeight="false" outlineLevel="0" collapsed="false">
      <c r="A9" s="354" t="s">
        <v>28</v>
      </c>
      <c r="B9" s="368" t="n">
        <f aca="false">design!C15</f>
        <v>150000</v>
      </c>
      <c r="C9" s="356"/>
      <c r="D9" s="359" t="s">
        <v>607</v>
      </c>
      <c r="E9" s="307" t="n">
        <v>50</v>
      </c>
      <c r="F9" s="307" t="n">
        <v>50</v>
      </c>
      <c r="G9" s="363"/>
      <c r="I9" s="359" t="s">
        <v>608</v>
      </c>
      <c r="J9" s="292" t="n">
        <v>0</v>
      </c>
      <c r="K9" s="360" t="n">
        <f aca="false">0.00000000024*POWER(200,2)*150000</f>
        <v>1.44</v>
      </c>
      <c r="L9" s="174" t="s">
        <v>609</v>
      </c>
    </row>
    <row r="10" customFormat="false" ht="17.2" hidden="false" customHeight="false" outlineLevel="0" collapsed="false">
      <c r="A10" s="354" t="s">
        <v>610</v>
      </c>
      <c r="B10" s="298" t="n">
        <f aca="false">1/B9</f>
        <v>6.66666666666667E-006</v>
      </c>
      <c r="C10" s="356"/>
      <c r="D10" s="369" t="s">
        <v>611</v>
      </c>
      <c r="E10" s="370" t="n">
        <f aca="false">E8+E9</f>
        <v>113.774124349598</v>
      </c>
      <c r="F10" s="370" t="n">
        <f aca="false">F8+F9</f>
        <v>73.2201797127746</v>
      </c>
      <c r="G10" s="371"/>
      <c r="I10" s="359" t="s">
        <v>612</v>
      </c>
      <c r="J10" s="292" t="n">
        <f aca="false">B16</f>
        <v>3.96926148936318</v>
      </c>
      <c r="K10" s="292" t="n">
        <f aca="false">B16</f>
        <v>3.96926148936318</v>
      </c>
      <c r="L10" s="174" t="s">
        <v>613</v>
      </c>
    </row>
    <row r="11" customFormat="false" ht="12.8" hidden="false" customHeight="false" outlineLevel="0" collapsed="false">
      <c r="A11" s="354" t="s">
        <v>614</v>
      </c>
      <c r="B11" s="372" t="n">
        <f aca="false">design!C22</f>
        <v>0.474740715958515</v>
      </c>
      <c r="C11" s="356"/>
      <c r="D11" s="373"/>
      <c r="E11" s="373"/>
      <c r="F11" s="373"/>
      <c r="G11" s="374"/>
      <c r="I11" s="359" t="s">
        <v>615</v>
      </c>
      <c r="J11" s="292" t="n">
        <f aca="false">B27</f>
        <v>3.88552874005619</v>
      </c>
      <c r="K11" s="375" t="n">
        <v>5.624</v>
      </c>
      <c r="L11" s="174" t="s">
        <v>616</v>
      </c>
    </row>
    <row r="12" customFormat="false" ht="17.2" hidden="false" customHeight="false" outlineLevel="0" collapsed="false">
      <c r="A12" s="354" t="s">
        <v>617</v>
      </c>
      <c r="B12" s="376" t="n">
        <f aca="false">((B7*B8)*(B5/B10))</f>
        <v>1.38758783171155</v>
      </c>
      <c r="C12" s="356"/>
      <c r="D12" s="377"/>
      <c r="E12" s="377"/>
      <c r="F12" s="377"/>
      <c r="G12" s="378"/>
      <c r="I12" s="359" t="s">
        <v>618</v>
      </c>
      <c r="J12" s="379" t="n">
        <f aca="false">POWER(design!C97,2)*design!C95</f>
        <v>0.486351736156246</v>
      </c>
      <c r="K12" s="379" t="n">
        <f aca="false">POWER(design!C97,2)*design!C95</f>
        <v>0.486351736156246</v>
      </c>
      <c r="L12" s="174"/>
    </row>
    <row r="13" customFormat="false" ht="17.2" hidden="false" customHeight="false" outlineLevel="0" collapsed="false">
      <c r="A13" s="354" t="s">
        <v>619</v>
      </c>
      <c r="B13" s="376" t="n">
        <f aca="false">((B7*B8)*(B6/B10))</f>
        <v>2.77517566342311</v>
      </c>
      <c r="C13" s="356"/>
      <c r="D13" s="377"/>
      <c r="E13" s="377"/>
      <c r="F13" s="377"/>
      <c r="G13" s="378"/>
      <c r="I13" s="380" t="s">
        <v>620</v>
      </c>
      <c r="J13" s="381" t="n">
        <f aca="false">SUM(J3:J12)</f>
        <v>12.5978389849271</v>
      </c>
      <c r="K13" s="381" t="n">
        <f aca="false">SUM(K3:K12)</f>
        <v>20.9495482448709</v>
      </c>
      <c r="L13" s="174"/>
    </row>
    <row r="14" customFormat="false" ht="17.2" hidden="false" customHeight="false" outlineLevel="0" collapsed="false">
      <c r="A14" s="354" t="s">
        <v>621</v>
      </c>
      <c r="B14" s="376" t="n">
        <f aca="false">(POWER(B8,2)*B4)*B11</f>
        <v>1.39425999422852</v>
      </c>
      <c r="C14" s="356"/>
      <c r="D14" s="377"/>
      <c r="E14" s="377"/>
      <c r="F14" s="377"/>
      <c r="G14" s="378"/>
      <c r="I14" s="380" t="str">
        <f aca="false">design!D12</f>
        <v>Power budget</v>
      </c>
      <c r="J14" s="382" t="n">
        <f aca="false">design!C12</f>
        <v>18.8172043010753</v>
      </c>
      <c r="K14" s="382" t="n">
        <f aca="false">design!C12</f>
        <v>18.8172043010753</v>
      </c>
      <c r="L14" s="174"/>
    </row>
    <row r="15" customFormat="false" ht="12.8" hidden="false" customHeight="false" outlineLevel="0" collapsed="false">
      <c r="A15" s="354" t="s">
        <v>622</v>
      </c>
      <c r="B15" s="373" t="n">
        <f aca="false">-(switch!B29)</f>
        <v>-1.587762</v>
      </c>
      <c r="C15" s="356"/>
      <c r="D15" s="377"/>
      <c r="E15" s="377"/>
      <c r="F15" s="377"/>
      <c r="G15" s="378"/>
      <c r="I15" s="383" t="s">
        <v>623</v>
      </c>
      <c r="J15" s="384" t="n">
        <f aca="false">J14-J13</f>
        <v>6.21936531614819</v>
      </c>
      <c r="K15" s="384" t="n">
        <f aca="false">K14-K13</f>
        <v>-2.13234394379563</v>
      </c>
      <c r="L15" s="385"/>
    </row>
    <row r="16" customFormat="false" ht="12.8" hidden="false" customHeight="false" outlineLevel="0" collapsed="false">
      <c r="A16" s="386" t="s">
        <v>620</v>
      </c>
      <c r="B16" s="387" t="n">
        <f aca="false">SUM(B12:B15)</f>
        <v>3.96926148936318</v>
      </c>
      <c r="C16" s="388"/>
      <c r="D16" s="377"/>
      <c r="E16" s="377"/>
      <c r="F16" s="377"/>
      <c r="G16" s="378"/>
    </row>
    <row r="18" customFormat="false" ht="15" hidden="false" customHeight="false" outlineLevel="0" collapsed="false">
      <c r="A18" s="347" t="s">
        <v>615</v>
      </c>
      <c r="B18" s="347"/>
      <c r="C18" s="347"/>
      <c r="D18" s="347"/>
      <c r="E18" s="347"/>
      <c r="F18" s="347"/>
      <c r="G18" s="347"/>
    </row>
    <row r="19" customFormat="false" ht="15" hidden="false" customHeight="false" outlineLevel="0" collapsed="false">
      <c r="A19" s="348" t="s">
        <v>580</v>
      </c>
      <c r="B19" s="348"/>
      <c r="C19" s="348"/>
      <c r="D19" s="389" t="s">
        <v>581</v>
      </c>
      <c r="E19" s="389"/>
      <c r="F19" s="389"/>
      <c r="G19" s="390"/>
    </row>
    <row r="20" customFormat="false" ht="15" hidden="false" customHeight="false" outlineLevel="0" collapsed="false">
      <c r="A20" s="354" t="s">
        <v>615</v>
      </c>
      <c r="B20" s="391" t="s">
        <v>624</v>
      </c>
      <c r="C20" s="356"/>
      <c r="D20" s="357"/>
      <c r="E20" s="332" t="s">
        <v>586</v>
      </c>
      <c r="F20" s="332" t="s">
        <v>587</v>
      </c>
      <c r="G20" s="358" t="s">
        <v>6</v>
      </c>
    </row>
    <row r="21" customFormat="false" ht="12.8" hidden="false" customHeight="false" outlineLevel="0" collapsed="false">
      <c r="A21" s="354" t="s">
        <v>625</v>
      </c>
      <c r="B21" s="392" t="n">
        <f aca="false">design!C17</f>
        <v>0.76</v>
      </c>
      <c r="C21" s="356"/>
      <c r="D21" s="359" t="s">
        <v>591</v>
      </c>
      <c r="E21" s="362" t="n">
        <v>2</v>
      </c>
      <c r="F21" s="362" t="n">
        <v>2</v>
      </c>
      <c r="G21" s="363"/>
    </row>
    <row r="22" customFormat="false" ht="12.8" hidden="false" customHeight="false" outlineLevel="0" collapsed="false">
      <c r="A22" s="354" t="s">
        <v>626</v>
      </c>
      <c r="B22" s="393" t="n">
        <v>0</v>
      </c>
      <c r="C22" s="356"/>
      <c r="D22" s="359"/>
      <c r="E22" s="362"/>
      <c r="F22" s="362"/>
      <c r="G22" s="363"/>
    </row>
    <row r="23" customFormat="false" ht="22.25" hidden="false" customHeight="false" outlineLevel="0" collapsed="false">
      <c r="A23" s="366" t="s">
        <v>627</v>
      </c>
      <c r="B23" s="367" t="n">
        <f aca="false">design!C35</f>
        <v>9.73336021122022</v>
      </c>
      <c r="C23" s="356"/>
      <c r="D23" s="359" t="s">
        <v>596</v>
      </c>
      <c r="E23" s="362" t="n">
        <f aca="false">15.467</f>
        <v>15.467</v>
      </c>
      <c r="F23" s="362" t="n">
        <f aca="false">5.25</f>
        <v>5.25</v>
      </c>
      <c r="G23" s="363" t="s">
        <v>597</v>
      </c>
    </row>
    <row r="24" customFormat="false" ht="12.8" hidden="false" customHeight="false" outlineLevel="0" collapsed="false">
      <c r="A24" s="354" t="s">
        <v>628</v>
      </c>
      <c r="B24" s="394" t="n">
        <f aca="false">design!C5+design!C7</f>
        <v>136</v>
      </c>
      <c r="C24" s="356"/>
      <c r="D24" s="359" t="s">
        <v>601</v>
      </c>
      <c r="E24" s="307" t="n">
        <f aca="false">SUM(E21:E23)</f>
        <v>17.467</v>
      </c>
      <c r="F24" s="307" t="n">
        <f aca="false">SUM(F21:F23)</f>
        <v>7.25</v>
      </c>
      <c r="G24" s="363"/>
    </row>
    <row r="25" customFormat="false" ht="18" hidden="false" customHeight="true" outlineLevel="0" collapsed="false">
      <c r="A25" s="354"/>
      <c r="B25" s="395"/>
      <c r="C25" s="356"/>
      <c r="D25" s="359" t="s">
        <v>604</v>
      </c>
      <c r="E25" s="307" t="n">
        <f aca="false">E24*B27</f>
        <v>67.8685305025615</v>
      </c>
      <c r="F25" s="307" t="n">
        <f aca="false">F24*B27</f>
        <v>28.1700833654074</v>
      </c>
      <c r="G25" s="363"/>
    </row>
    <row r="26" customFormat="false" ht="17.2" hidden="false" customHeight="false" outlineLevel="0" collapsed="false">
      <c r="A26" s="354"/>
      <c r="B26" s="396"/>
      <c r="C26" s="356"/>
      <c r="D26" s="359" t="s">
        <v>607</v>
      </c>
      <c r="E26" s="307" t="n">
        <v>50</v>
      </c>
      <c r="F26" s="307" t="n">
        <v>50</v>
      </c>
      <c r="G26" s="363"/>
    </row>
    <row r="27" customFormat="false" ht="17.2" hidden="false" customHeight="false" outlineLevel="0" collapsed="false">
      <c r="A27" s="386" t="s">
        <v>629</v>
      </c>
      <c r="B27" s="397" t="n">
        <f aca="false">(B21*B23)*(1-design!C22)</f>
        <v>3.88552874005619</v>
      </c>
      <c r="C27" s="356"/>
      <c r="D27" s="369" t="s">
        <v>611</v>
      </c>
      <c r="E27" s="370" t="n">
        <f aca="false">E25+E26</f>
        <v>117.868530502561</v>
      </c>
      <c r="F27" s="370" t="n">
        <f aca="false">F25+F26</f>
        <v>78.1700833654074</v>
      </c>
      <c r="G27" s="371"/>
    </row>
    <row r="28" customFormat="false" ht="12.8" hidden="false" customHeight="false" outlineLevel="0" collapsed="false">
      <c r="A28" s="398"/>
      <c r="B28" s="399"/>
      <c r="C28" s="400"/>
      <c r="D28" s="401"/>
      <c r="E28" s="401"/>
      <c r="F28" s="401"/>
      <c r="G28" s="402"/>
    </row>
  </sheetData>
  <mergeCells count="7">
    <mergeCell ref="A1:G1"/>
    <mergeCell ref="I1:L1"/>
    <mergeCell ref="A2:C2"/>
    <mergeCell ref="D2:G2"/>
    <mergeCell ref="A18:G18"/>
    <mergeCell ref="A19:C19"/>
    <mergeCell ref="D19:F19"/>
  </mergeCell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J46"/>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8" zeroHeight="false" outlineLevelRow="0" outlineLevelCol="0"/>
  <cols>
    <col collapsed="false" customWidth="true" hidden="false" outlineLevel="0" max="1" min="1" style="403" width="22.27"/>
    <col collapsed="false" customWidth="true" hidden="false" outlineLevel="0" max="2" min="2" style="404" width="13.41"/>
    <col collapsed="false" customWidth="true" hidden="false" outlineLevel="0" max="3" min="3" style="403" width="6.88"/>
    <col collapsed="false" customWidth="true" hidden="false" outlineLevel="0" max="4" min="4" style="405" width="24.8"/>
    <col collapsed="false" customWidth="true" hidden="false" outlineLevel="0" max="5" min="5" style="406" width="12.09"/>
    <col collapsed="false" customWidth="true" hidden="false" outlineLevel="0" max="6" min="6" style="403" width="13.55"/>
    <col collapsed="false" customWidth="true" hidden="false" outlineLevel="0" max="7" min="7" style="407" width="33.97"/>
    <col collapsed="false" customWidth="true" hidden="false" outlineLevel="0" max="8" min="8" style="408" width="53.04"/>
    <col collapsed="false" customWidth="true" hidden="false" outlineLevel="0" max="1019" min="9" style="403" width="14.92"/>
    <col collapsed="false" customWidth="false" hidden="false" outlineLevel="0" max="1025" min="1020" style="56" width="11.52"/>
  </cols>
  <sheetData>
    <row r="1" customFormat="false" ht="12.8" hidden="false" customHeight="false" outlineLevel="0" collapsed="false">
      <c r="A1" s="409" t="s">
        <v>630</v>
      </c>
      <c r="B1" s="410" t="s">
        <v>631</v>
      </c>
      <c r="C1" s="409" t="s">
        <v>8</v>
      </c>
      <c r="D1" s="409" t="s">
        <v>5</v>
      </c>
      <c r="E1" s="411" t="s">
        <v>632</v>
      </c>
      <c r="F1" s="409" t="s">
        <v>633</v>
      </c>
      <c r="G1" s="411" t="s">
        <v>7</v>
      </c>
      <c r="H1" s="412" t="s">
        <v>9</v>
      </c>
    </row>
    <row r="2" customFormat="false" ht="22.25" hidden="false" customHeight="false" outlineLevel="0" collapsed="false">
      <c r="A2" s="403" t="s">
        <v>634</v>
      </c>
      <c r="B2" s="413" t="s">
        <v>635</v>
      </c>
      <c r="C2" s="414" t="n">
        <v>1</v>
      </c>
      <c r="D2" s="405" t="s">
        <v>636</v>
      </c>
      <c r="E2" s="406" t="s">
        <v>637</v>
      </c>
      <c r="F2" s="403" t="s">
        <v>638</v>
      </c>
      <c r="G2" s="415" t="s">
        <v>639</v>
      </c>
      <c r="H2" s="408" t="s">
        <v>640</v>
      </c>
    </row>
    <row r="3" customFormat="false" ht="12.8" hidden="false" customHeight="false" outlineLevel="0" collapsed="false">
      <c r="A3" s="403" t="s">
        <v>634</v>
      </c>
      <c r="B3" s="413" t="s">
        <v>635</v>
      </c>
      <c r="C3" s="414" t="n">
        <v>1</v>
      </c>
      <c r="D3" s="405" t="s">
        <v>641</v>
      </c>
      <c r="E3" s="406" t="s">
        <v>637</v>
      </c>
      <c r="F3" s="403" t="s">
        <v>638</v>
      </c>
      <c r="G3" s="407" t="s">
        <v>642</v>
      </c>
      <c r="H3" s="416" t="s">
        <v>643</v>
      </c>
    </row>
    <row r="4" customFormat="false" ht="12.8" hidden="false" customHeight="false" outlineLevel="0" collapsed="false">
      <c r="A4" s="403" t="s">
        <v>634</v>
      </c>
      <c r="B4" s="413" t="s">
        <v>635</v>
      </c>
      <c r="C4" s="414" t="n">
        <v>2</v>
      </c>
      <c r="D4" s="417" t="s">
        <v>644</v>
      </c>
      <c r="E4" s="406" t="s">
        <v>637</v>
      </c>
      <c r="F4" s="403" t="s">
        <v>638</v>
      </c>
      <c r="G4" s="415" t="s">
        <v>645</v>
      </c>
      <c r="H4" s="416" t="s">
        <v>646</v>
      </c>
    </row>
    <row r="5" customFormat="false" ht="22.25" hidden="false" customHeight="false" outlineLevel="0" collapsed="false">
      <c r="A5" s="403" t="s">
        <v>634</v>
      </c>
      <c r="B5" s="404" t="s">
        <v>647</v>
      </c>
      <c r="C5" s="414" t="n">
        <v>1</v>
      </c>
      <c r="D5" s="405" t="s">
        <v>464</v>
      </c>
      <c r="E5" s="406" t="s">
        <v>648</v>
      </c>
      <c r="F5" s="403" t="s">
        <v>638</v>
      </c>
      <c r="G5" s="407" t="s">
        <v>649</v>
      </c>
      <c r="H5" s="408" t="s">
        <v>650</v>
      </c>
    </row>
    <row r="6" customFormat="false" ht="22.25" hidden="false" customHeight="false" outlineLevel="0" collapsed="false">
      <c r="A6" s="403" t="s">
        <v>634</v>
      </c>
      <c r="B6" s="404" t="s">
        <v>651</v>
      </c>
      <c r="C6" s="414" t="n">
        <v>2</v>
      </c>
      <c r="D6" s="405" t="n">
        <v>1935776</v>
      </c>
      <c r="E6" s="406" t="s">
        <v>652</v>
      </c>
      <c r="F6" s="403" t="s">
        <v>638</v>
      </c>
      <c r="G6" s="415" t="s">
        <v>653</v>
      </c>
      <c r="H6" s="408" t="s">
        <v>654</v>
      </c>
    </row>
    <row r="7" customFormat="false" ht="22.25" hidden="false" customHeight="false" outlineLevel="0" collapsed="false">
      <c r="A7" s="403" t="s">
        <v>634</v>
      </c>
      <c r="B7" s="404" t="s">
        <v>655</v>
      </c>
      <c r="C7" s="414" t="n">
        <v>3</v>
      </c>
      <c r="D7" s="405" t="s">
        <v>656</v>
      </c>
      <c r="E7" s="406" t="s">
        <v>657</v>
      </c>
      <c r="F7" s="403" t="s">
        <v>638</v>
      </c>
      <c r="G7" s="414" t="s">
        <v>658</v>
      </c>
      <c r="H7" s="404" t="s">
        <v>659</v>
      </c>
    </row>
    <row r="8" customFormat="false" ht="12.8" hidden="false" customHeight="false" outlineLevel="0" collapsed="false">
      <c r="A8" s="403" t="s">
        <v>634</v>
      </c>
      <c r="B8" s="404" t="s">
        <v>660</v>
      </c>
      <c r="C8" s="414" t="n">
        <v>3</v>
      </c>
      <c r="D8" s="405" t="n">
        <v>806</v>
      </c>
      <c r="E8" s="406" t="s">
        <v>661</v>
      </c>
      <c r="F8" s="403" t="s">
        <v>638</v>
      </c>
      <c r="G8" s="418" t="s">
        <v>662</v>
      </c>
      <c r="H8" s="418" t="s">
        <v>663</v>
      </c>
    </row>
    <row r="9" customFormat="false" ht="22.25" hidden="false" customHeight="false" outlineLevel="0" collapsed="false">
      <c r="A9" s="403" t="s">
        <v>634</v>
      </c>
      <c r="B9" s="413" t="s">
        <v>664</v>
      </c>
      <c r="C9" s="414" t="n">
        <v>1</v>
      </c>
      <c r="D9" s="405" t="s">
        <v>665</v>
      </c>
      <c r="E9" s="419" t="s">
        <v>666</v>
      </c>
      <c r="F9" s="403" t="s">
        <v>638</v>
      </c>
      <c r="G9" s="405" t="s">
        <v>189</v>
      </c>
      <c r="H9" s="419" t="s">
        <v>190</v>
      </c>
    </row>
    <row r="10" customFormat="false" ht="22.25" hidden="false" customHeight="false" outlineLevel="0" collapsed="false">
      <c r="A10" s="403" t="s">
        <v>634</v>
      </c>
      <c r="B10" s="404" t="s">
        <v>667</v>
      </c>
      <c r="C10" s="414" t="n">
        <v>4</v>
      </c>
      <c r="D10" s="405" t="s">
        <v>668</v>
      </c>
      <c r="E10" s="406" t="s">
        <v>669</v>
      </c>
      <c r="F10" s="403" t="s">
        <v>638</v>
      </c>
      <c r="G10" s="405" t="s">
        <v>670</v>
      </c>
      <c r="H10" s="419" t="s">
        <v>671</v>
      </c>
    </row>
    <row r="11" s="418" customFormat="true" ht="22.25" hidden="false" customHeight="false" outlineLevel="0" collapsed="false">
      <c r="A11" s="403" t="s">
        <v>634</v>
      </c>
      <c r="B11" s="404" t="s">
        <v>672</v>
      </c>
      <c r="C11" s="414" t="n">
        <v>3</v>
      </c>
      <c r="D11" s="405" t="s">
        <v>673</v>
      </c>
      <c r="E11" s="419" t="s">
        <v>674</v>
      </c>
      <c r="F11" s="403" t="s">
        <v>638</v>
      </c>
      <c r="G11" s="405" t="s">
        <v>127</v>
      </c>
      <c r="H11" s="419" t="s">
        <v>128</v>
      </c>
      <c r="AMF11" s="56"/>
      <c r="AMG11" s="56"/>
      <c r="AMH11" s="56"/>
      <c r="AMI11" s="56"/>
      <c r="AMJ11" s="56"/>
    </row>
    <row r="12" customFormat="false" ht="12.8" hidden="false" customHeight="false" outlineLevel="0" collapsed="false">
      <c r="A12" s="403" t="s">
        <v>634</v>
      </c>
      <c r="B12" s="404" t="s">
        <v>675</v>
      </c>
      <c r="C12" s="414" t="n">
        <v>1</v>
      </c>
      <c r="D12" s="405" t="s">
        <v>676</v>
      </c>
      <c r="E12" s="406" t="s">
        <v>677</v>
      </c>
      <c r="F12" s="403" t="s">
        <v>638</v>
      </c>
      <c r="G12" s="405" t="s">
        <v>678</v>
      </c>
      <c r="H12" s="419" t="s">
        <v>679</v>
      </c>
    </row>
    <row r="13" customFormat="false" ht="22.25" hidden="false" customHeight="false" outlineLevel="0" collapsed="false">
      <c r="A13" s="403" t="s">
        <v>634</v>
      </c>
      <c r="B13" s="404" t="s">
        <v>680</v>
      </c>
      <c r="C13" s="414" t="n">
        <v>1</v>
      </c>
      <c r="D13" s="405" t="s">
        <v>681</v>
      </c>
      <c r="E13" s="419" t="s">
        <v>682</v>
      </c>
      <c r="F13" s="403" t="s">
        <v>638</v>
      </c>
      <c r="G13" s="405" t="s">
        <v>683</v>
      </c>
      <c r="H13" s="419" t="s">
        <v>684</v>
      </c>
    </row>
    <row r="14" customFormat="false" ht="22.25" hidden="false" customHeight="false" outlineLevel="0" collapsed="false">
      <c r="A14" s="403" t="s">
        <v>634</v>
      </c>
      <c r="B14" s="404" t="s">
        <v>685</v>
      </c>
      <c r="C14" s="414" t="n">
        <v>1</v>
      </c>
      <c r="D14" s="417" t="s">
        <v>686</v>
      </c>
      <c r="E14" s="406" t="s">
        <v>687</v>
      </c>
      <c r="F14" s="403" t="s">
        <v>638</v>
      </c>
      <c r="G14" s="415" t="s">
        <v>688</v>
      </c>
      <c r="H14" s="419" t="s">
        <v>689</v>
      </c>
    </row>
    <row r="15" customFormat="false" ht="22.25" hidden="false" customHeight="false" outlineLevel="0" collapsed="false">
      <c r="A15" s="403" t="s">
        <v>634</v>
      </c>
      <c r="B15" s="404" t="s">
        <v>690</v>
      </c>
      <c r="C15" s="414" t="n">
        <v>1</v>
      </c>
      <c r="D15" s="417" t="s">
        <v>691</v>
      </c>
      <c r="E15" s="406" t="s">
        <v>661</v>
      </c>
      <c r="F15" s="403" t="s">
        <v>638</v>
      </c>
      <c r="G15" s="405" t="s">
        <v>692</v>
      </c>
      <c r="H15" s="419" t="s">
        <v>693</v>
      </c>
    </row>
    <row r="16" customFormat="false" ht="12.8" hidden="false" customHeight="false" outlineLevel="0" collapsed="false">
      <c r="A16" s="403" t="s">
        <v>634</v>
      </c>
      <c r="B16" s="413" t="s">
        <v>694</v>
      </c>
      <c r="C16" s="414" t="n">
        <v>1</v>
      </c>
      <c r="D16" s="405" t="s">
        <v>695</v>
      </c>
      <c r="E16" s="406" t="s">
        <v>677</v>
      </c>
      <c r="F16" s="403" t="s">
        <v>638</v>
      </c>
      <c r="G16" s="415" t="s">
        <v>696</v>
      </c>
      <c r="H16" s="420" t="s">
        <v>697</v>
      </c>
    </row>
    <row r="17" customFormat="false" ht="12.8" hidden="false" customHeight="false" outlineLevel="0" collapsed="false">
      <c r="A17" s="403" t="s">
        <v>634</v>
      </c>
      <c r="B17" s="404" t="s">
        <v>698</v>
      </c>
      <c r="C17" s="414" t="n">
        <v>1</v>
      </c>
      <c r="D17" s="405" t="s">
        <v>699</v>
      </c>
      <c r="E17" s="419" t="s">
        <v>700</v>
      </c>
      <c r="F17" s="403" t="s">
        <v>638</v>
      </c>
      <c r="G17" s="415" t="s">
        <v>701</v>
      </c>
      <c r="H17" s="419" t="s">
        <v>702</v>
      </c>
    </row>
    <row r="18" customFormat="false" ht="22.25" hidden="false" customHeight="false" outlineLevel="0" collapsed="false">
      <c r="A18" s="403" t="s">
        <v>634</v>
      </c>
      <c r="B18" s="404" t="s">
        <v>703</v>
      </c>
      <c r="C18" s="414" t="n">
        <v>1</v>
      </c>
      <c r="D18" s="417" t="n">
        <v>3.3</v>
      </c>
      <c r="E18" s="406" t="s">
        <v>661</v>
      </c>
      <c r="F18" s="403" t="s">
        <v>638</v>
      </c>
      <c r="G18" s="405" t="s">
        <v>704</v>
      </c>
      <c r="H18" s="419" t="s">
        <v>705</v>
      </c>
    </row>
    <row r="19" customFormat="false" ht="12.8" hidden="false" customHeight="false" outlineLevel="0" collapsed="false">
      <c r="A19" s="403" t="s">
        <v>634</v>
      </c>
      <c r="B19" s="404" t="s">
        <v>706</v>
      </c>
      <c r="C19" s="414" t="n">
        <v>2</v>
      </c>
      <c r="D19" s="417" t="s">
        <v>707</v>
      </c>
      <c r="E19" s="406" t="s">
        <v>661</v>
      </c>
      <c r="F19" s="403" t="s">
        <v>638</v>
      </c>
      <c r="G19" s="415" t="s">
        <v>708</v>
      </c>
      <c r="H19" s="420" t="s">
        <v>709</v>
      </c>
    </row>
    <row r="20" customFormat="false" ht="12.8" hidden="false" customHeight="false" outlineLevel="0" collapsed="false">
      <c r="A20" s="403" t="s">
        <v>634</v>
      </c>
      <c r="B20" s="404" t="s">
        <v>710</v>
      </c>
      <c r="C20" s="414" t="n">
        <v>1</v>
      </c>
      <c r="D20" s="405" t="s">
        <v>711</v>
      </c>
      <c r="E20" s="406" t="s">
        <v>657</v>
      </c>
      <c r="F20" s="403" t="s">
        <v>638</v>
      </c>
      <c r="G20" s="407" t="s">
        <v>712</v>
      </c>
      <c r="H20" s="420" t="s">
        <v>713</v>
      </c>
    </row>
    <row r="21" customFormat="false" ht="22.25" hidden="false" customHeight="false" outlineLevel="0" collapsed="false">
      <c r="A21" s="403" t="s">
        <v>634</v>
      </c>
      <c r="B21" s="413" t="s">
        <v>714</v>
      </c>
      <c r="C21" s="414" t="n">
        <v>1</v>
      </c>
      <c r="D21" s="405" t="s">
        <v>715</v>
      </c>
      <c r="E21" s="406" t="s">
        <v>716</v>
      </c>
      <c r="F21" s="403" t="s">
        <v>638</v>
      </c>
      <c r="G21" s="405" t="s">
        <v>717</v>
      </c>
      <c r="H21" s="419" t="s">
        <v>718</v>
      </c>
    </row>
    <row r="22" customFormat="false" ht="12.8" hidden="false" customHeight="false" outlineLevel="0" collapsed="false">
      <c r="A22" s="403" t="s">
        <v>634</v>
      </c>
      <c r="B22" s="413" t="s">
        <v>719</v>
      </c>
      <c r="C22" s="414" t="n">
        <v>1</v>
      </c>
      <c r="D22" s="421"/>
      <c r="E22" s="406" t="s">
        <v>720</v>
      </c>
      <c r="F22" s="403" t="s">
        <v>638</v>
      </c>
      <c r="G22" s="415" t="s">
        <v>721</v>
      </c>
      <c r="H22" s="416" t="s">
        <v>722</v>
      </c>
    </row>
    <row r="23" customFormat="false" ht="22.25" hidden="false" customHeight="false" outlineLevel="0" collapsed="false">
      <c r="A23" s="403" t="s">
        <v>634</v>
      </c>
      <c r="B23" s="413" t="s">
        <v>723</v>
      </c>
      <c r="C23" s="414" t="n">
        <v>1</v>
      </c>
      <c r="D23" s="405" t="n">
        <v>40.2</v>
      </c>
      <c r="E23" s="406" t="s">
        <v>724</v>
      </c>
      <c r="F23" s="403" t="s">
        <v>638</v>
      </c>
      <c r="G23" s="405" t="s">
        <v>725</v>
      </c>
      <c r="H23" s="419" t="s">
        <v>726</v>
      </c>
    </row>
    <row r="24" customFormat="false" ht="22.25" hidden="false" customHeight="false" outlineLevel="0" collapsed="false">
      <c r="A24" s="403" t="s">
        <v>634</v>
      </c>
      <c r="B24" s="413" t="s">
        <v>727</v>
      </c>
      <c r="C24" s="414" t="n">
        <v>1</v>
      </c>
      <c r="D24" s="405" t="s">
        <v>728</v>
      </c>
      <c r="E24" s="406" t="s">
        <v>661</v>
      </c>
      <c r="F24" s="403" t="s">
        <v>638</v>
      </c>
      <c r="G24" s="405" t="s">
        <v>729</v>
      </c>
      <c r="H24" s="419" t="s">
        <v>730</v>
      </c>
    </row>
    <row r="25" customFormat="false" ht="22.25" hidden="false" customHeight="false" outlineLevel="0" collapsed="false">
      <c r="A25" s="403" t="s">
        <v>634</v>
      </c>
      <c r="B25" s="413" t="s">
        <v>731</v>
      </c>
      <c r="C25" s="414" t="n">
        <v>1</v>
      </c>
      <c r="D25" s="405" t="s">
        <v>732</v>
      </c>
      <c r="E25" s="421" t="s">
        <v>733</v>
      </c>
      <c r="F25" s="403" t="s">
        <v>638</v>
      </c>
      <c r="G25" s="405" t="s">
        <v>734</v>
      </c>
      <c r="H25" s="419" t="s">
        <v>735</v>
      </c>
    </row>
    <row r="26" customFormat="false" ht="12.8" hidden="false" customHeight="false" outlineLevel="0" collapsed="false">
      <c r="A26" s="403" t="s">
        <v>634</v>
      </c>
      <c r="B26" s="404" t="s">
        <v>736</v>
      </c>
      <c r="C26" s="414" t="n">
        <v>1</v>
      </c>
      <c r="D26" s="405" t="s">
        <v>624</v>
      </c>
      <c r="E26" s="419" t="s">
        <v>737</v>
      </c>
      <c r="F26" s="403" t="s">
        <v>638</v>
      </c>
      <c r="G26" s="405" t="s">
        <v>738</v>
      </c>
      <c r="H26" s="419" t="s">
        <v>739</v>
      </c>
    </row>
    <row r="27" customFormat="false" ht="12.8" hidden="false" customHeight="false" outlineLevel="0" collapsed="false">
      <c r="A27" s="403" t="s">
        <v>634</v>
      </c>
      <c r="B27" s="404" t="s">
        <v>740</v>
      </c>
      <c r="C27" s="414" t="n">
        <v>2</v>
      </c>
      <c r="D27" s="405" t="s">
        <v>741</v>
      </c>
      <c r="E27" s="419" t="s">
        <v>742</v>
      </c>
      <c r="F27" s="403" t="s">
        <v>638</v>
      </c>
      <c r="G27" s="405" t="s">
        <v>743</v>
      </c>
      <c r="H27" s="419" t="s">
        <v>744</v>
      </c>
    </row>
    <row r="28" s="414" customFormat="true" ht="22.25" hidden="false" customHeight="false" outlineLevel="0" collapsed="false">
      <c r="A28" s="403" t="s">
        <v>745</v>
      </c>
      <c r="B28" s="404" t="s">
        <v>746</v>
      </c>
      <c r="C28" s="414" t="n">
        <v>1</v>
      </c>
      <c r="D28" s="405" t="n">
        <v>1989447</v>
      </c>
      <c r="E28" s="406" t="s">
        <v>652</v>
      </c>
      <c r="F28" s="403" t="s">
        <v>638</v>
      </c>
      <c r="G28" s="414" t="s">
        <v>747</v>
      </c>
      <c r="H28" s="404" t="s">
        <v>654</v>
      </c>
      <c r="AMF28" s="56"/>
      <c r="AMG28" s="56"/>
      <c r="AMH28" s="56"/>
      <c r="AMI28" s="56"/>
      <c r="AMJ28" s="56"/>
    </row>
    <row r="29" s="414" customFormat="true" ht="22.25" hidden="false" customHeight="false" outlineLevel="0" collapsed="false">
      <c r="A29" s="403" t="s">
        <v>745</v>
      </c>
      <c r="B29" s="413" t="s">
        <v>748</v>
      </c>
      <c r="C29" s="414" t="n">
        <v>1</v>
      </c>
      <c r="D29" s="405" t="s">
        <v>749</v>
      </c>
      <c r="E29" s="420" t="s">
        <v>750</v>
      </c>
      <c r="F29" s="403" t="s">
        <v>638</v>
      </c>
      <c r="G29" s="415" t="s">
        <v>751</v>
      </c>
      <c r="H29" s="420" t="s">
        <v>752</v>
      </c>
      <c r="AMF29" s="56"/>
      <c r="AMG29" s="56"/>
      <c r="AMH29" s="56"/>
      <c r="AMI29" s="56"/>
      <c r="AMJ29" s="56"/>
    </row>
    <row r="30" customFormat="false" ht="22.25" hidden="false" customHeight="false" outlineLevel="0" collapsed="false">
      <c r="A30" s="403" t="s">
        <v>745</v>
      </c>
      <c r="B30" s="413" t="s">
        <v>753</v>
      </c>
      <c r="C30" s="414" t="n">
        <v>4</v>
      </c>
      <c r="D30" s="405" t="s">
        <v>668</v>
      </c>
      <c r="E30" s="406" t="s">
        <v>661</v>
      </c>
      <c r="F30" s="403" t="s">
        <v>638</v>
      </c>
      <c r="G30" s="405" t="s">
        <v>754</v>
      </c>
      <c r="H30" s="416" t="s">
        <v>755</v>
      </c>
    </row>
    <row r="31" customFormat="false" ht="33.4" hidden="false" customHeight="false" outlineLevel="0" collapsed="false">
      <c r="A31" s="403" t="s">
        <v>745</v>
      </c>
      <c r="B31" s="413" t="s">
        <v>756</v>
      </c>
      <c r="C31" s="414" t="n">
        <v>8</v>
      </c>
      <c r="D31" s="417" t="s">
        <v>707</v>
      </c>
      <c r="E31" s="406" t="s">
        <v>661</v>
      </c>
      <c r="F31" s="403" t="s">
        <v>638</v>
      </c>
      <c r="G31" s="415" t="s">
        <v>708</v>
      </c>
      <c r="H31" s="420" t="s">
        <v>709</v>
      </c>
    </row>
    <row r="32" customFormat="false" ht="12.8" hidden="false" customHeight="false" outlineLevel="0" collapsed="false">
      <c r="A32" s="403" t="s">
        <v>745</v>
      </c>
      <c r="B32" s="413" t="s">
        <v>757</v>
      </c>
      <c r="C32" s="414" t="n">
        <v>2</v>
      </c>
      <c r="D32" s="405" t="s">
        <v>711</v>
      </c>
      <c r="E32" s="406" t="s">
        <v>657</v>
      </c>
      <c r="F32" s="403" t="s">
        <v>638</v>
      </c>
      <c r="G32" s="407" t="s">
        <v>712</v>
      </c>
      <c r="H32" s="420" t="s">
        <v>713</v>
      </c>
    </row>
    <row r="33" customFormat="false" ht="22.25" hidden="false" customHeight="false" outlineLevel="0" collapsed="false">
      <c r="A33" s="403" t="s">
        <v>745</v>
      </c>
      <c r="B33" s="413" t="s">
        <v>758</v>
      </c>
      <c r="C33" s="414" t="n">
        <v>1</v>
      </c>
      <c r="D33" s="405" t="s">
        <v>759</v>
      </c>
      <c r="E33" s="420" t="s">
        <v>760</v>
      </c>
      <c r="F33" s="403" t="s">
        <v>638</v>
      </c>
      <c r="G33" s="415" t="s">
        <v>761</v>
      </c>
      <c r="H33" s="420" t="s">
        <v>762</v>
      </c>
    </row>
    <row r="34" customFormat="false" ht="12.8" hidden="false" customHeight="false" outlineLevel="0" collapsed="false">
      <c r="A34" s="403" t="s">
        <v>745</v>
      </c>
      <c r="B34" s="413" t="s">
        <v>763</v>
      </c>
      <c r="C34" s="414" t="n">
        <v>1</v>
      </c>
      <c r="D34" s="405" t="s">
        <v>764</v>
      </c>
      <c r="E34" s="419" t="s">
        <v>765</v>
      </c>
      <c r="F34" s="403" t="s">
        <v>638</v>
      </c>
      <c r="G34" s="405" t="s">
        <v>766</v>
      </c>
      <c r="H34" s="419" t="s">
        <v>767</v>
      </c>
    </row>
    <row r="35" customFormat="false" ht="12.8" hidden="false" customHeight="false" outlineLevel="0" collapsed="false">
      <c r="A35" s="403" t="s">
        <v>745</v>
      </c>
      <c r="B35" s="413" t="s">
        <v>768</v>
      </c>
      <c r="C35" s="414" t="n">
        <v>1</v>
      </c>
      <c r="D35" s="405" t="s">
        <v>769</v>
      </c>
      <c r="E35" s="419" t="s">
        <v>770</v>
      </c>
      <c r="F35" s="403" t="s">
        <v>638</v>
      </c>
      <c r="G35" s="405" t="s">
        <v>771</v>
      </c>
      <c r="H35" s="419" t="s">
        <v>772</v>
      </c>
    </row>
    <row r="36" customFormat="false" ht="33.4" hidden="false" customHeight="false" outlineLevel="0" collapsed="false">
      <c r="A36" s="403" t="s">
        <v>745</v>
      </c>
      <c r="B36" s="413" t="s">
        <v>773</v>
      </c>
      <c r="C36" s="414" t="n">
        <v>7</v>
      </c>
      <c r="D36" s="405" t="s">
        <v>686</v>
      </c>
      <c r="E36" s="406" t="s">
        <v>661</v>
      </c>
      <c r="F36" s="403" t="s">
        <v>638</v>
      </c>
      <c r="G36" s="414" t="s">
        <v>774</v>
      </c>
      <c r="H36" s="414" t="s">
        <v>775</v>
      </c>
    </row>
    <row r="37" customFormat="false" ht="12.8" hidden="false" customHeight="false" outlineLevel="0" collapsed="false">
      <c r="A37" s="403" t="s">
        <v>745</v>
      </c>
      <c r="B37" s="413" t="s">
        <v>776</v>
      </c>
      <c r="C37" s="414" t="n">
        <v>1</v>
      </c>
      <c r="D37" s="405" t="s">
        <v>777</v>
      </c>
      <c r="E37" s="419" t="s">
        <v>778</v>
      </c>
      <c r="F37" s="403" t="s">
        <v>638</v>
      </c>
      <c r="G37" s="405" t="s">
        <v>779</v>
      </c>
      <c r="H37" s="419" t="s">
        <v>780</v>
      </c>
    </row>
    <row r="38" customFormat="false" ht="12.8" hidden="false" customHeight="false" outlineLevel="0" collapsed="false">
      <c r="A38" s="403" t="s">
        <v>745</v>
      </c>
      <c r="B38" s="413" t="s">
        <v>781</v>
      </c>
      <c r="C38" s="414" t="n">
        <v>1</v>
      </c>
      <c r="D38" s="405" t="n">
        <v>649</v>
      </c>
      <c r="E38" s="406" t="s">
        <v>661</v>
      </c>
      <c r="F38" s="403" t="s">
        <v>638</v>
      </c>
      <c r="G38" s="415" t="s">
        <v>782</v>
      </c>
      <c r="H38" s="418" t="s">
        <v>783</v>
      </c>
    </row>
    <row r="39" customFormat="false" ht="22.25" hidden="false" customHeight="false" outlineLevel="0" collapsed="false">
      <c r="A39" s="403" t="s">
        <v>745</v>
      </c>
      <c r="B39" s="413" t="s">
        <v>784</v>
      </c>
      <c r="C39" s="414" t="n">
        <v>1</v>
      </c>
      <c r="D39" s="405" t="s">
        <v>785</v>
      </c>
      <c r="E39" s="406" t="s">
        <v>661</v>
      </c>
      <c r="F39" s="403" t="s">
        <v>638</v>
      </c>
      <c r="G39" s="405" t="s">
        <v>786</v>
      </c>
      <c r="H39" s="419" t="s">
        <v>787</v>
      </c>
    </row>
    <row r="40" customFormat="false" ht="12.8" hidden="false" customHeight="false" outlineLevel="0" collapsed="false">
      <c r="A40" s="403" t="s">
        <v>745</v>
      </c>
      <c r="B40" s="413" t="s">
        <v>788</v>
      </c>
      <c r="C40" s="414" t="n">
        <v>1</v>
      </c>
      <c r="D40" s="405" t="s">
        <v>789</v>
      </c>
      <c r="E40" s="419" t="s">
        <v>790</v>
      </c>
      <c r="F40" s="403" t="s">
        <v>638</v>
      </c>
      <c r="G40" s="417" t="s">
        <v>791</v>
      </c>
      <c r="H40" s="421" t="s">
        <v>792</v>
      </c>
    </row>
    <row r="41" customFormat="false" ht="12.8" hidden="false" customHeight="false" outlineLevel="0" collapsed="false">
      <c r="A41" s="403" t="s">
        <v>745</v>
      </c>
      <c r="B41" s="413" t="s">
        <v>793</v>
      </c>
      <c r="C41" s="414" t="n">
        <v>1</v>
      </c>
      <c r="D41" s="405" t="s">
        <v>794</v>
      </c>
      <c r="E41" s="419" t="s">
        <v>795</v>
      </c>
      <c r="F41" s="403" t="s">
        <v>638</v>
      </c>
      <c r="G41" s="405" t="s">
        <v>796</v>
      </c>
      <c r="H41" s="419" t="s">
        <v>797</v>
      </c>
    </row>
    <row r="42" customFormat="false" ht="22.25" hidden="false" customHeight="false" outlineLevel="0" collapsed="false">
      <c r="A42" s="403" t="s">
        <v>745</v>
      </c>
      <c r="B42" s="413" t="s">
        <v>798</v>
      </c>
      <c r="C42" s="414" t="n">
        <v>1</v>
      </c>
      <c r="D42" s="405" t="s">
        <v>799</v>
      </c>
      <c r="E42" s="406" t="s">
        <v>661</v>
      </c>
      <c r="F42" s="403" t="s">
        <v>638</v>
      </c>
      <c r="G42" s="407" t="s">
        <v>800</v>
      </c>
      <c r="H42" s="413" t="s">
        <v>801</v>
      </c>
    </row>
    <row r="43" customFormat="false" ht="22.25" hidden="false" customHeight="false" outlineLevel="0" collapsed="false">
      <c r="A43" s="403" t="s">
        <v>745</v>
      </c>
      <c r="B43" s="413" t="s">
        <v>802</v>
      </c>
      <c r="C43" s="414" t="n">
        <v>1</v>
      </c>
      <c r="D43" s="405" t="s">
        <v>803</v>
      </c>
      <c r="E43" s="406" t="s">
        <v>661</v>
      </c>
      <c r="F43" s="403" t="s">
        <v>638</v>
      </c>
      <c r="G43" s="405" t="s">
        <v>804</v>
      </c>
      <c r="H43" s="419" t="s">
        <v>805</v>
      </c>
    </row>
    <row r="44" s="414" customFormat="true" ht="22.25" hidden="false" customHeight="false" outlineLevel="0" collapsed="false">
      <c r="A44" s="403" t="s">
        <v>745</v>
      </c>
      <c r="B44" s="413" t="s">
        <v>806</v>
      </c>
      <c r="C44" s="414" t="n">
        <v>1</v>
      </c>
      <c r="D44" s="405" t="s">
        <v>807</v>
      </c>
      <c r="E44" s="406" t="s">
        <v>661</v>
      </c>
      <c r="F44" s="403" t="s">
        <v>638</v>
      </c>
      <c r="G44" s="405" t="s">
        <v>808</v>
      </c>
      <c r="H44" s="419" t="s">
        <v>809</v>
      </c>
      <c r="AMF44" s="56"/>
      <c r="AMG44" s="56"/>
      <c r="AMH44" s="56"/>
      <c r="AMI44" s="56"/>
      <c r="AMJ44" s="56"/>
    </row>
    <row r="45" customFormat="false" ht="12.8" hidden="false" customHeight="false" outlineLevel="0" collapsed="false">
      <c r="A45" s="403" t="s">
        <v>745</v>
      </c>
      <c r="B45" s="413" t="s">
        <v>810</v>
      </c>
      <c r="C45" s="414" t="n">
        <v>1</v>
      </c>
      <c r="D45" s="405" t="n">
        <v>698</v>
      </c>
      <c r="E45" s="406" t="s">
        <v>661</v>
      </c>
      <c r="F45" s="403" t="s">
        <v>638</v>
      </c>
      <c r="G45" s="418" t="s">
        <v>811</v>
      </c>
      <c r="H45" s="418" t="s">
        <v>812</v>
      </c>
    </row>
    <row r="46" customFormat="false" ht="22.25" hidden="false" customHeight="false" outlineLevel="0" collapsed="false">
      <c r="A46" s="403" t="s">
        <v>745</v>
      </c>
      <c r="B46" s="413" t="s">
        <v>813</v>
      </c>
      <c r="C46" s="414" t="n">
        <v>1</v>
      </c>
      <c r="D46" s="405" t="s">
        <v>814</v>
      </c>
      <c r="E46" s="406" t="s">
        <v>815</v>
      </c>
      <c r="F46" s="403" t="s">
        <v>638</v>
      </c>
      <c r="G46" s="415" t="s">
        <v>816</v>
      </c>
      <c r="H46" s="408" t="s">
        <v>817</v>
      </c>
    </row>
  </sheetData>
  <autoFilter ref="A1:H75"/>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M44"/>
  <sheetViews>
    <sheetView showFormulas="false" showGridLines="true" showRowColHeaders="true" showZeros="true" rightToLeft="false" tabSelected="false" showOutlineSymbols="true" defaultGridColor="true" view="normal" topLeftCell="A1" colorId="64" zoomScale="74" zoomScaleNormal="74" zoomScalePageLayoutView="100" workbookViewId="0">
      <selection pane="topLeft" activeCell="A1" activeCellId="0" sqref="A1"/>
    </sheetView>
  </sheetViews>
  <sheetFormatPr defaultRowHeight="15" zeroHeight="true" outlineLevelRow="0" outlineLevelCol="0"/>
  <cols>
    <col collapsed="false" customWidth="true" hidden="false" outlineLevel="0" max="1" min="1" style="0" width="7.58"/>
    <col collapsed="false" customWidth="true" hidden="false" outlineLevel="0" max="12" min="2" style="0" width="14.92"/>
    <col collapsed="false" customWidth="true" hidden="false" outlineLevel="0" max="13" min="13" style="0" width="7.58"/>
    <col collapsed="false" customWidth="true" hidden="true" outlineLevel="0" max="1025" min="14" style="0" width="14.92"/>
  </cols>
  <sheetData>
    <row r="1" customFormat="false" ht="30" hidden="false" customHeight="true" outlineLevel="0" collapsed="false">
      <c r="A1" s="422" t="s">
        <v>818</v>
      </c>
      <c r="B1" s="423" t="s">
        <v>819</v>
      </c>
      <c r="C1" s="423"/>
      <c r="D1" s="423"/>
      <c r="E1" s="423" t="s">
        <v>820</v>
      </c>
      <c r="F1" s="423"/>
      <c r="G1" s="423" t="s">
        <v>821</v>
      </c>
      <c r="H1" s="423"/>
      <c r="I1" s="423"/>
      <c r="J1" s="423" t="s">
        <v>822</v>
      </c>
      <c r="K1" s="423"/>
      <c r="L1" s="423"/>
      <c r="M1" s="424" t="s">
        <v>818</v>
      </c>
    </row>
    <row r="2" customFormat="false" ht="15" hidden="false" customHeight="false" outlineLevel="0" collapsed="false">
      <c r="A2" s="422"/>
      <c r="B2" s="423"/>
      <c r="C2" s="423"/>
      <c r="D2" s="423"/>
      <c r="E2" s="423"/>
      <c r="F2" s="423"/>
      <c r="G2" s="423"/>
      <c r="H2" s="423"/>
      <c r="I2" s="423"/>
      <c r="J2" s="423"/>
      <c r="K2" s="423"/>
      <c r="L2" s="423"/>
      <c r="M2" s="424"/>
    </row>
    <row r="3" customFormat="false" ht="15" hidden="false" customHeight="true" outlineLevel="0" collapsed="false">
      <c r="A3" s="422"/>
      <c r="B3" s="423" t="s">
        <v>823</v>
      </c>
      <c r="C3" s="423" t="s">
        <v>824</v>
      </c>
      <c r="D3" s="425" t="s">
        <v>825</v>
      </c>
      <c r="E3" s="423" t="s">
        <v>826</v>
      </c>
      <c r="F3" s="423" t="s">
        <v>827</v>
      </c>
      <c r="G3" s="425" t="s">
        <v>828</v>
      </c>
      <c r="H3" s="423" t="s">
        <v>829</v>
      </c>
      <c r="I3" s="423" t="s">
        <v>830</v>
      </c>
      <c r="J3" s="423" t="s">
        <v>831</v>
      </c>
      <c r="K3" s="423" t="s">
        <v>832</v>
      </c>
      <c r="L3" s="423" t="s">
        <v>833</v>
      </c>
      <c r="M3" s="424"/>
    </row>
    <row r="4" customFormat="false" ht="15" hidden="false" customHeight="false" outlineLevel="0" collapsed="false">
      <c r="A4" s="422"/>
      <c r="B4" s="423"/>
      <c r="C4" s="423"/>
      <c r="D4" s="425"/>
      <c r="E4" s="423"/>
      <c r="F4" s="423"/>
      <c r="G4" s="425"/>
      <c r="H4" s="423"/>
      <c r="I4" s="423"/>
      <c r="J4" s="423"/>
      <c r="K4" s="423"/>
      <c r="L4" s="423"/>
      <c r="M4" s="424"/>
    </row>
    <row r="5" customFormat="false" ht="15" hidden="false" customHeight="false" outlineLevel="0" collapsed="false">
      <c r="A5" s="426" t="n">
        <v>40</v>
      </c>
      <c r="B5" s="427" t="n">
        <v>0.00314</v>
      </c>
      <c r="C5" s="428" t="n">
        <v>0.0799</v>
      </c>
      <c r="D5" s="429" t="n">
        <v>0.102</v>
      </c>
      <c r="E5" s="430" t="n">
        <v>318</v>
      </c>
      <c r="F5" s="431" t="n">
        <v>125</v>
      </c>
      <c r="G5" s="432" t="n">
        <v>0.00989</v>
      </c>
      <c r="H5" s="433" t="n">
        <f aca="false">I5/100</f>
        <v>5.01E-005</v>
      </c>
      <c r="I5" s="434" t="n">
        <v>0.00501</v>
      </c>
      <c r="J5" s="435" t="n">
        <v>3441</v>
      </c>
      <c r="K5" s="428" t="n">
        <f aca="false">J5*10</f>
        <v>34410</v>
      </c>
      <c r="L5" s="429" t="n">
        <v>1049</v>
      </c>
      <c r="M5" s="436" t="n">
        <v>40</v>
      </c>
    </row>
    <row r="6" customFormat="false" ht="15" hidden="false" customHeight="false" outlineLevel="0" collapsed="false">
      <c r="A6" s="437" t="n">
        <v>39</v>
      </c>
      <c r="B6" s="427" t="n">
        <v>0.00353</v>
      </c>
      <c r="C6" s="438" t="n">
        <v>0.0897</v>
      </c>
      <c r="D6" s="429" t="n">
        <v>0.114</v>
      </c>
      <c r="E6" s="439" t="n">
        <v>283</v>
      </c>
      <c r="F6" s="431" t="n">
        <v>111</v>
      </c>
      <c r="G6" s="440" t="n">
        <v>0.0125</v>
      </c>
      <c r="H6" s="433" t="n">
        <f aca="false">I6/100</f>
        <v>6.32E-005</v>
      </c>
      <c r="I6" s="441" t="n">
        <v>0.00632</v>
      </c>
      <c r="J6" s="435" t="n">
        <v>2729</v>
      </c>
      <c r="K6" s="438" t="n">
        <f aca="false">J6*10</f>
        <v>27290</v>
      </c>
      <c r="L6" s="429" t="n">
        <v>831.8</v>
      </c>
      <c r="M6" s="442" t="n">
        <v>39</v>
      </c>
    </row>
    <row r="7" customFormat="false" ht="15" hidden="false" customHeight="false" outlineLevel="0" collapsed="false">
      <c r="A7" s="426" t="n">
        <v>38</v>
      </c>
      <c r="B7" s="427" t="n">
        <v>0.00397</v>
      </c>
      <c r="C7" s="428" t="n">
        <v>0.101</v>
      </c>
      <c r="D7" s="429" t="n">
        <v>0.13</v>
      </c>
      <c r="E7" s="430" t="n">
        <v>252</v>
      </c>
      <c r="F7" s="431" t="n">
        <v>99.3</v>
      </c>
      <c r="G7" s="432" t="n">
        <v>0.0157</v>
      </c>
      <c r="H7" s="433" t="n">
        <f aca="false">I7/100</f>
        <v>7.97E-005</v>
      </c>
      <c r="I7" s="434" t="n">
        <v>0.00797</v>
      </c>
      <c r="J7" s="435" t="n">
        <v>2164</v>
      </c>
      <c r="K7" s="428" t="n">
        <f aca="false">J7*10</f>
        <v>21640</v>
      </c>
      <c r="L7" s="429" t="n">
        <v>659.6</v>
      </c>
      <c r="M7" s="436" t="n">
        <v>38</v>
      </c>
    </row>
    <row r="8" customFormat="false" ht="15" hidden="false" customHeight="false" outlineLevel="0" collapsed="false">
      <c r="A8" s="437" t="n">
        <v>37</v>
      </c>
      <c r="B8" s="427" t="n">
        <v>0.00445</v>
      </c>
      <c r="C8" s="438" t="n">
        <v>0.113</v>
      </c>
      <c r="D8" s="429" t="n">
        <v>0.145</v>
      </c>
      <c r="E8" s="439" t="n">
        <v>225</v>
      </c>
      <c r="F8" s="431" t="n">
        <v>88.4</v>
      </c>
      <c r="G8" s="440" t="n">
        <v>0.0198</v>
      </c>
      <c r="H8" s="433" t="n">
        <f aca="false">I8/100</f>
        <v>0.0001</v>
      </c>
      <c r="I8" s="441" t="n">
        <v>0.01</v>
      </c>
      <c r="J8" s="435" t="n">
        <v>1716</v>
      </c>
      <c r="K8" s="438" t="n">
        <f aca="false">J8*10</f>
        <v>17160</v>
      </c>
      <c r="L8" s="429" t="n">
        <v>523.1</v>
      </c>
      <c r="M8" s="442" t="n">
        <v>37</v>
      </c>
    </row>
    <row r="9" customFormat="false" ht="15" hidden="false" customHeight="false" outlineLevel="0" collapsed="false">
      <c r="A9" s="426" t="n">
        <v>36</v>
      </c>
      <c r="B9" s="443" t="n">
        <v>0.005</v>
      </c>
      <c r="C9" s="444" t="n">
        <v>0.127</v>
      </c>
      <c r="D9" s="445" t="n">
        <v>0.16</v>
      </c>
      <c r="E9" s="430" t="n">
        <v>200</v>
      </c>
      <c r="F9" s="431" t="n">
        <v>78.7</v>
      </c>
      <c r="G9" s="432" t="n">
        <v>0.025</v>
      </c>
      <c r="H9" s="433" t="n">
        <f aca="false">I9/100</f>
        <v>0.000127</v>
      </c>
      <c r="I9" s="434" t="n">
        <v>0.0127</v>
      </c>
      <c r="J9" s="435" t="n">
        <v>1361</v>
      </c>
      <c r="K9" s="428" t="n">
        <f aca="false">J9*10</f>
        <v>13610</v>
      </c>
      <c r="L9" s="429" t="n">
        <v>414.8</v>
      </c>
      <c r="M9" s="436" t="n">
        <v>36</v>
      </c>
    </row>
    <row r="10" s="446" customFormat="true" ht="15" hidden="false" customHeight="false" outlineLevel="0" collapsed="false">
      <c r="A10" s="437" t="n">
        <v>35</v>
      </c>
      <c r="B10" s="427" t="n">
        <v>0.00561</v>
      </c>
      <c r="C10" s="438" t="n">
        <v>0.143</v>
      </c>
      <c r="D10" s="429" t="n">
        <v>0.178</v>
      </c>
      <c r="E10" s="439" t="n">
        <v>178</v>
      </c>
      <c r="F10" s="431" t="n">
        <v>70.1</v>
      </c>
      <c r="G10" s="440" t="n">
        <v>0.0315</v>
      </c>
      <c r="H10" s="433" t="n">
        <f aca="false">I10/100</f>
        <v>0.00016</v>
      </c>
      <c r="I10" s="441" t="n">
        <v>0.016</v>
      </c>
      <c r="J10" s="435" t="n">
        <v>1079</v>
      </c>
      <c r="K10" s="438" t="n">
        <f aca="false">J10*10</f>
        <v>10790</v>
      </c>
      <c r="L10" s="429" t="n">
        <v>329</v>
      </c>
      <c r="M10" s="442" t="n">
        <v>35</v>
      </c>
    </row>
    <row r="11" customFormat="false" ht="15" hidden="false" customHeight="false" outlineLevel="0" collapsed="false">
      <c r="A11" s="426" t="n">
        <v>34</v>
      </c>
      <c r="B11" s="427" t="n">
        <v>0.0063</v>
      </c>
      <c r="C11" s="428" t="n">
        <v>0.16</v>
      </c>
      <c r="D11" s="429" t="n">
        <v>0.198</v>
      </c>
      <c r="E11" s="430" t="n">
        <v>159</v>
      </c>
      <c r="F11" s="431" t="n">
        <v>62.4</v>
      </c>
      <c r="G11" s="432" t="n">
        <v>0.0398</v>
      </c>
      <c r="H11" s="433" t="n">
        <f aca="false">I11/100</f>
        <v>0.000201</v>
      </c>
      <c r="I11" s="434" t="n">
        <v>0.0201</v>
      </c>
      <c r="J11" s="435" t="n">
        <v>856</v>
      </c>
      <c r="K11" s="428" t="n">
        <f aca="false">J11*10</f>
        <v>8560</v>
      </c>
      <c r="L11" s="429" t="n">
        <v>260.9</v>
      </c>
      <c r="M11" s="436" t="n">
        <v>34</v>
      </c>
    </row>
    <row r="12" s="446" customFormat="true" ht="15" hidden="false" customHeight="false" outlineLevel="0" collapsed="false">
      <c r="A12" s="437" t="n">
        <v>33</v>
      </c>
      <c r="B12" s="427" t="n">
        <v>0.00708</v>
      </c>
      <c r="C12" s="438" t="n">
        <v>0.18</v>
      </c>
      <c r="D12" s="429" t="n">
        <v>0.224</v>
      </c>
      <c r="E12" s="439" t="n">
        <v>141</v>
      </c>
      <c r="F12" s="431" t="n">
        <v>55.6</v>
      </c>
      <c r="G12" s="440" t="n">
        <v>0.0501</v>
      </c>
      <c r="H12" s="433" t="n">
        <f aca="false">I12/100</f>
        <v>0.000254</v>
      </c>
      <c r="I12" s="441" t="n">
        <v>0.0254</v>
      </c>
      <c r="J12" s="435" t="n">
        <v>678.8</v>
      </c>
      <c r="K12" s="438" t="n">
        <f aca="false">J12*10</f>
        <v>6788</v>
      </c>
      <c r="L12" s="429" t="n">
        <v>206.9</v>
      </c>
      <c r="M12" s="442" t="n">
        <v>33</v>
      </c>
    </row>
    <row r="13" customFormat="false" ht="15" hidden="false" customHeight="false" outlineLevel="0" collapsed="false">
      <c r="A13" s="426" t="n">
        <v>32</v>
      </c>
      <c r="B13" s="427" t="n">
        <v>0.00795</v>
      </c>
      <c r="C13" s="428" t="n">
        <v>0.202</v>
      </c>
      <c r="D13" s="429" t="n">
        <v>0.249</v>
      </c>
      <c r="E13" s="430" t="n">
        <v>126</v>
      </c>
      <c r="F13" s="431" t="n">
        <v>49.5</v>
      </c>
      <c r="G13" s="432" t="n">
        <v>0.0632</v>
      </c>
      <c r="H13" s="433" t="n">
        <f aca="false">I13/100</f>
        <v>0.00032</v>
      </c>
      <c r="I13" s="434" t="n">
        <v>0.032</v>
      </c>
      <c r="J13" s="435" t="n">
        <v>538.3</v>
      </c>
      <c r="K13" s="428" t="n">
        <f aca="false">J13*10</f>
        <v>5383</v>
      </c>
      <c r="L13" s="429" t="n">
        <v>164.1</v>
      </c>
      <c r="M13" s="436" t="n">
        <v>32</v>
      </c>
    </row>
    <row r="14" s="446" customFormat="true" ht="15" hidden="false" customHeight="false" outlineLevel="0" collapsed="false">
      <c r="A14" s="437" t="n">
        <v>31</v>
      </c>
      <c r="B14" s="427" t="n">
        <v>0.00893</v>
      </c>
      <c r="C14" s="438" t="n">
        <v>0.227</v>
      </c>
      <c r="D14" s="429" t="n">
        <v>0.274</v>
      </c>
      <c r="E14" s="439" t="n">
        <v>112</v>
      </c>
      <c r="F14" s="431" t="n">
        <v>44.1</v>
      </c>
      <c r="G14" s="440" t="n">
        <v>0.0797</v>
      </c>
      <c r="H14" s="433" t="n">
        <f aca="false">I14/100</f>
        <v>0.000404</v>
      </c>
      <c r="I14" s="441" t="n">
        <v>0.0404</v>
      </c>
      <c r="J14" s="435" t="n">
        <v>426.9</v>
      </c>
      <c r="K14" s="438" t="n">
        <f aca="false">J14*10</f>
        <v>4269</v>
      </c>
      <c r="L14" s="429" t="n">
        <v>130.1</v>
      </c>
      <c r="M14" s="442" t="n">
        <v>31</v>
      </c>
    </row>
    <row r="15" customFormat="false" ht="15" hidden="false" customHeight="false" outlineLevel="0" collapsed="false">
      <c r="A15" s="426" t="n">
        <v>30</v>
      </c>
      <c r="B15" s="427" t="n">
        <v>0.01</v>
      </c>
      <c r="C15" s="428" t="n">
        <v>0.255</v>
      </c>
      <c r="D15" s="429" t="n">
        <v>0.302</v>
      </c>
      <c r="E15" s="430" t="n">
        <v>99.7</v>
      </c>
      <c r="F15" s="431" t="n">
        <v>39.3</v>
      </c>
      <c r="G15" s="432" t="n">
        <v>0.101</v>
      </c>
      <c r="H15" s="433" t="n">
        <f aca="false">I15/100</f>
        <v>0.000509</v>
      </c>
      <c r="I15" s="434" t="n">
        <v>0.0509</v>
      </c>
      <c r="J15" s="435" t="n">
        <v>338.6</v>
      </c>
      <c r="K15" s="428" t="n">
        <f aca="false">J15*10</f>
        <v>3386</v>
      </c>
      <c r="L15" s="429" t="n">
        <v>103.2</v>
      </c>
      <c r="M15" s="436" t="n">
        <v>30</v>
      </c>
    </row>
    <row r="16" s="446" customFormat="true" ht="15" hidden="false" customHeight="false" outlineLevel="0" collapsed="false">
      <c r="A16" s="437" t="n">
        <v>29</v>
      </c>
      <c r="B16" s="427" t="n">
        <v>0.0113</v>
      </c>
      <c r="C16" s="438" t="n">
        <v>0.286</v>
      </c>
      <c r="D16" s="429" t="n">
        <v>0.338</v>
      </c>
      <c r="E16" s="439" t="n">
        <v>88.8</v>
      </c>
      <c r="F16" s="431" t="n">
        <v>35</v>
      </c>
      <c r="G16" s="440" t="n">
        <v>0.127</v>
      </c>
      <c r="H16" s="433" t="n">
        <f aca="false">I16/100</f>
        <v>0.000642</v>
      </c>
      <c r="I16" s="441" t="n">
        <v>0.0642</v>
      </c>
      <c r="J16" s="435" t="n">
        <v>268.5</v>
      </c>
      <c r="K16" s="438" t="n">
        <f aca="false">J16*10</f>
        <v>2685</v>
      </c>
      <c r="L16" s="429" t="n">
        <v>81.84</v>
      </c>
      <c r="M16" s="442" t="n">
        <v>29</v>
      </c>
    </row>
    <row r="17" customFormat="false" ht="15" hidden="false" customHeight="false" outlineLevel="0" collapsed="false">
      <c r="A17" s="426" t="n">
        <v>28</v>
      </c>
      <c r="B17" s="427" t="n">
        <v>0.0126</v>
      </c>
      <c r="C17" s="428" t="n">
        <v>0.321</v>
      </c>
      <c r="D17" s="429" t="n">
        <v>0.373</v>
      </c>
      <c r="E17" s="430" t="n">
        <v>79.1</v>
      </c>
      <c r="F17" s="431" t="n">
        <v>31.1</v>
      </c>
      <c r="G17" s="432" t="n">
        <v>0.16</v>
      </c>
      <c r="H17" s="433" t="n">
        <f aca="false">I17/100</f>
        <v>0.00081</v>
      </c>
      <c r="I17" s="434" t="n">
        <v>0.081</v>
      </c>
      <c r="J17" s="435" t="n">
        <v>212.9</v>
      </c>
      <c r="K17" s="428" t="n">
        <f aca="false">J17*10</f>
        <v>2129</v>
      </c>
      <c r="L17" s="429" t="n">
        <v>64.9</v>
      </c>
      <c r="M17" s="436" t="n">
        <v>28</v>
      </c>
    </row>
    <row r="18" s="446" customFormat="true" ht="15" hidden="false" customHeight="false" outlineLevel="0" collapsed="false">
      <c r="A18" s="437" t="n">
        <v>27</v>
      </c>
      <c r="B18" s="427" t="n">
        <v>0.0142</v>
      </c>
      <c r="C18" s="438" t="n">
        <v>0.361</v>
      </c>
      <c r="D18" s="429" t="n">
        <v>0.417</v>
      </c>
      <c r="E18" s="439" t="n">
        <v>70.4</v>
      </c>
      <c r="F18" s="431" t="n">
        <v>27.7</v>
      </c>
      <c r="G18" s="440" t="n">
        <v>0.202</v>
      </c>
      <c r="H18" s="433" t="n">
        <f aca="false">I18/100</f>
        <v>0.00102</v>
      </c>
      <c r="I18" s="441" t="n">
        <v>0.102</v>
      </c>
      <c r="J18" s="435" t="n">
        <v>168.9</v>
      </c>
      <c r="K18" s="438" t="n">
        <f aca="false">J18*10</f>
        <v>1689</v>
      </c>
      <c r="L18" s="429" t="n">
        <v>51.47</v>
      </c>
      <c r="M18" s="442" t="n">
        <v>27</v>
      </c>
    </row>
    <row r="19" customFormat="false" ht="15" hidden="false" customHeight="false" outlineLevel="0" collapsed="false">
      <c r="A19" s="426" t="n">
        <v>26</v>
      </c>
      <c r="B19" s="427" t="n">
        <v>0.0159</v>
      </c>
      <c r="C19" s="428" t="n">
        <v>0.405</v>
      </c>
      <c r="D19" s="429" t="n">
        <v>0.462</v>
      </c>
      <c r="E19" s="430" t="n">
        <v>62.7</v>
      </c>
      <c r="F19" s="431" t="n">
        <v>24.7</v>
      </c>
      <c r="G19" s="432" t="n">
        <v>0.254</v>
      </c>
      <c r="H19" s="433" t="n">
        <f aca="false">I19/100</f>
        <v>0.00129</v>
      </c>
      <c r="I19" s="434" t="n">
        <v>0.129</v>
      </c>
      <c r="J19" s="435" t="n">
        <v>133.9</v>
      </c>
      <c r="K19" s="428" t="n">
        <f aca="false">J19*10</f>
        <v>1339</v>
      </c>
      <c r="L19" s="429" t="n">
        <v>40.81</v>
      </c>
      <c r="M19" s="436" t="n">
        <v>26</v>
      </c>
    </row>
    <row r="20" s="446" customFormat="true" ht="15" hidden="false" customHeight="false" outlineLevel="0" collapsed="false">
      <c r="A20" s="437" t="n">
        <v>25</v>
      </c>
      <c r="B20" s="427" t="n">
        <v>0.0179</v>
      </c>
      <c r="C20" s="438" t="n">
        <v>0.455</v>
      </c>
      <c r="D20" s="429" t="n">
        <v>0.516</v>
      </c>
      <c r="E20" s="439" t="n">
        <v>55.9</v>
      </c>
      <c r="F20" s="431" t="n">
        <v>22</v>
      </c>
      <c r="G20" s="440" t="n">
        <v>0.32</v>
      </c>
      <c r="H20" s="433" t="n">
        <f aca="false">I20/100</f>
        <v>0.00162</v>
      </c>
      <c r="I20" s="441" t="n">
        <v>0.162</v>
      </c>
      <c r="J20" s="435" t="n">
        <v>106.2</v>
      </c>
      <c r="K20" s="438" t="n">
        <f aca="false">J20*10</f>
        <v>1062</v>
      </c>
      <c r="L20" s="429" t="n">
        <v>32.37</v>
      </c>
      <c r="M20" s="442" t="n">
        <v>25</v>
      </c>
    </row>
    <row r="21" customFormat="false" ht="15" hidden="false" customHeight="false" outlineLevel="0" collapsed="false">
      <c r="A21" s="426" t="n">
        <v>24</v>
      </c>
      <c r="B21" s="427" t="n">
        <v>0.0201</v>
      </c>
      <c r="C21" s="428" t="n">
        <v>0.511</v>
      </c>
      <c r="D21" s="429" t="n">
        <v>0.577</v>
      </c>
      <c r="E21" s="430" t="n">
        <v>49.7</v>
      </c>
      <c r="F21" s="431" t="n">
        <v>19.6</v>
      </c>
      <c r="G21" s="432" t="n">
        <v>0.404</v>
      </c>
      <c r="H21" s="433" t="n">
        <f aca="false">I21/100</f>
        <v>0.00205</v>
      </c>
      <c r="I21" s="434" t="n">
        <v>0.205</v>
      </c>
      <c r="J21" s="435" t="n">
        <v>84.22</v>
      </c>
      <c r="K21" s="428" t="n">
        <f aca="false">J21*10</f>
        <v>842.2</v>
      </c>
      <c r="L21" s="429" t="n">
        <v>25.67</v>
      </c>
      <c r="M21" s="436" t="n">
        <v>24</v>
      </c>
    </row>
    <row r="22" s="446" customFormat="true" ht="15" hidden="false" customHeight="false" outlineLevel="0" collapsed="false">
      <c r="A22" s="437" t="n">
        <v>23</v>
      </c>
      <c r="B22" s="427" t="n">
        <v>0.0226</v>
      </c>
      <c r="C22" s="438" t="n">
        <v>0.573</v>
      </c>
      <c r="D22" s="429" t="n">
        <v>0.642</v>
      </c>
      <c r="E22" s="439" t="n">
        <v>44.3</v>
      </c>
      <c r="F22" s="431" t="n">
        <v>17.4</v>
      </c>
      <c r="G22" s="440" t="n">
        <v>0.509</v>
      </c>
      <c r="H22" s="433" t="n">
        <f aca="false">I22/100</f>
        <v>0.00258</v>
      </c>
      <c r="I22" s="441" t="n">
        <v>0.258</v>
      </c>
      <c r="J22" s="435" t="n">
        <v>66.79</v>
      </c>
      <c r="K22" s="438" t="n">
        <f aca="false">J22*10</f>
        <v>667.9</v>
      </c>
      <c r="L22" s="429" t="n">
        <v>20.36</v>
      </c>
      <c r="M22" s="442" t="n">
        <v>23</v>
      </c>
    </row>
    <row r="23" customFormat="false" ht="15" hidden="false" customHeight="false" outlineLevel="0" collapsed="false">
      <c r="A23" s="426" t="n">
        <v>22</v>
      </c>
      <c r="B23" s="427" t="n">
        <v>0.0253</v>
      </c>
      <c r="C23" s="428" t="n">
        <v>0.644</v>
      </c>
      <c r="D23" s="429" t="n">
        <v>0.714</v>
      </c>
      <c r="E23" s="430" t="n">
        <v>39.5</v>
      </c>
      <c r="F23" s="431" t="n">
        <v>15.5</v>
      </c>
      <c r="G23" s="432" t="n">
        <v>0.642</v>
      </c>
      <c r="H23" s="433" t="n">
        <f aca="false">I23/100</f>
        <v>0.00326</v>
      </c>
      <c r="I23" s="434" t="n">
        <v>0.326</v>
      </c>
      <c r="J23" s="435" t="n">
        <v>52.96</v>
      </c>
      <c r="K23" s="428" t="n">
        <f aca="false">J23*10</f>
        <v>529.6</v>
      </c>
      <c r="L23" s="429" t="n">
        <v>16.14</v>
      </c>
      <c r="M23" s="436" t="n">
        <v>22</v>
      </c>
    </row>
    <row r="24" s="446" customFormat="true" ht="15" hidden="false" customHeight="false" outlineLevel="0" collapsed="false">
      <c r="A24" s="437" t="n">
        <v>21</v>
      </c>
      <c r="B24" s="427" t="n">
        <v>0.0285</v>
      </c>
      <c r="C24" s="438" t="n">
        <v>0.723</v>
      </c>
      <c r="D24" s="429" t="n">
        <v>0.798</v>
      </c>
      <c r="E24" s="439" t="n">
        <v>35.1</v>
      </c>
      <c r="F24" s="431" t="n">
        <v>13.8</v>
      </c>
      <c r="G24" s="440" t="n">
        <v>0.81</v>
      </c>
      <c r="H24" s="433" t="n">
        <f aca="false">I24/100</f>
        <v>0.0041</v>
      </c>
      <c r="I24" s="441" t="n">
        <v>0.41</v>
      </c>
      <c r="J24" s="435" t="n">
        <v>42</v>
      </c>
      <c r="K24" s="438" t="n">
        <f aca="false">J24*10</f>
        <v>420</v>
      </c>
      <c r="L24" s="429" t="n">
        <v>12.8</v>
      </c>
      <c r="M24" s="442" t="n">
        <v>21</v>
      </c>
    </row>
    <row r="25" customFormat="false" ht="15" hidden="false" customHeight="false" outlineLevel="0" collapsed="false">
      <c r="A25" s="426" t="n">
        <v>20</v>
      </c>
      <c r="B25" s="427" t="n">
        <v>0.032</v>
      </c>
      <c r="C25" s="428" t="n">
        <v>0.812</v>
      </c>
      <c r="D25" s="429" t="n">
        <v>0.892</v>
      </c>
      <c r="E25" s="430" t="n">
        <v>31.3</v>
      </c>
      <c r="F25" s="431" t="n">
        <v>12.3</v>
      </c>
      <c r="G25" s="432" t="n">
        <v>1.02</v>
      </c>
      <c r="H25" s="433" t="n">
        <f aca="false">I25/100</f>
        <v>0.00518</v>
      </c>
      <c r="I25" s="434" t="n">
        <v>0.518</v>
      </c>
      <c r="J25" s="435" t="n">
        <v>33.31</v>
      </c>
      <c r="K25" s="428" t="n">
        <f aca="false">J25*10</f>
        <v>333.1</v>
      </c>
      <c r="L25" s="429" t="n">
        <v>10.15</v>
      </c>
      <c r="M25" s="436" t="n">
        <v>20</v>
      </c>
    </row>
    <row r="26" s="446" customFormat="true" ht="15" hidden="false" customHeight="false" outlineLevel="0" collapsed="false">
      <c r="A26" s="437" t="n">
        <v>19</v>
      </c>
      <c r="B26" s="427" t="n">
        <v>0.0359</v>
      </c>
      <c r="C26" s="438" t="n">
        <v>0.912</v>
      </c>
      <c r="D26" s="429" t="n">
        <v>0.993</v>
      </c>
      <c r="E26" s="439" t="n">
        <v>27.9</v>
      </c>
      <c r="F26" s="431" t="n">
        <v>11</v>
      </c>
      <c r="G26" s="440" t="n">
        <v>1.29</v>
      </c>
      <c r="H26" s="433" t="n">
        <f aca="false">I26/100</f>
        <v>0.00653</v>
      </c>
      <c r="I26" s="441" t="n">
        <v>0.653</v>
      </c>
      <c r="J26" s="435" t="n">
        <v>26.42</v>
      </c>
      <c r="K26" s="438" t="n">
        <f aca="false">J26*10</f>
        <v>264.2</v>
      </c>
      <c r="L26" s="429" t="n">
        <v>8.051</v>
      </c>
      <c r="M26" s="442" t="n">
        <v>19</v>
      </c>
    </row>
    <row r="27" customFormat="false" ht="15" hidden="false" customHeight="false" outlineLevel="0" collapsed="false">
      <c r="A27" s="426" t="n">
        <v>18</v>
      </c>
      <c r="B27" s="427" t="n">
        <v>0.0403</v>
      </c>
      <c r="C27" s="428" t="n">
        <v>1.024</v>
      </c>
      <c r="D27" s="429" t="n">
        <v>1.11</v>
      </c>
      <c r="E27" s="430" t="n">
        <v>24.8</v>
      </c>
      <c r="F27" s="431" t="n">
        <v>9.77</v>
      </c>
      <c r="G27" s="432" t="n">
        <v>1.62</v>
      </c>
      <c r="H27" s="433" t="n">
        <f aca="false">I27/100</f>
        <v>0.00823</v>
      </c>
      <c r="I27" s="434" t="n">
        <v>0.823</v>
      </c>
      <c r="J27" s="435" t="n">
        <v>20.95</v>
      </c>
      <c r="K27" s="428" t="n">
        <f aca="false">J27*10</f>
        <v>209.5</v>
      </c>
      <c r="L27" s="429" t="n">
        <v>6.385</v>
      </c>
      <c r="M27" s="436" t="n">
        <v>18</v>
      </c>
    </row>
    <row r="28" s="446" customFormat="true" ht="15" hidden="false" customHeight="false" outlineLevel="0" collapsed="false">
      <c r="A28" s="437" t="n">
        <v>17</v>
      </c>
      <c r="B28" s="427" t="n">
        <v>0.0453</v>
      </c>
      <c r="C28" s="438" t="n">
        <v>1.15</v>
      </c>
      <c r="D28" s="429" t="n">
        <v>1.24</v>
      </c>
      <c r="E28" s="439" t="n">
        <v>22.1</v>
      </c>
      <c r="F28" s="431" t="n">
        <v>8.7</v>
      </c>
      <c r="G28" s="440" t="n">
        <v>2.05</v>
      </c>
      <c r="H28" s="433" t="n">
        <f aca="false">I28/100</f>
        <v>0.0104</v>
      </c>
      <c r="I28" s="441" t="n">
        <v>1.04</v>
      </c>
      <c r="J28" s="435" t="n">
        <v>16.61</v>
      </c>
      <c r="K28" s="438" t="n">
        <f aca="false">J28*10</f>
        <v>166.1</v>
      </c>
      <c r="L28" s="429" t="n">
        <v>5.064</v>
      </c>
      <c r="M28" s="442" t="n">
        <v>17</v>
      </c>
    </row>
    <row r="29" customFormat="false" ht="15" hidden="false" customHeight="false" outlineLevel="0" collapsed="false">
      <c r="A29" s="426" t="n">
        <v>16</v>
      </c>
      <c r="B29" s="427" t="n">
        <v>0.0508</v>
      </c>
      <c r="C29" s="428" t="n">
        <v>1.291</v>
      </c>
      <c r="D29" s="429" t="n">
        <v>1.384</v>
      </c>
      <c r="E29" s="430" t="n">
        <v>19.7</v>
      </c>
      <c r="F29" s="431" t="n">
        <v>7.75</v>
      </c>
      <c r="G29" s="432" t="n">
        <v>2.58</v>
      </c>
      <c r="H29" s="433" t="n">
        <f aca="false">I29/100</f>
        <v>0.0131</v>
      </c>
      <c r="I29" s="434" t="n">
        <v>1.31</v>
      </c>
      <c r="J29" s="435" t="n">
        <v>13.17</v>
      </c>
      <c r="K29" s="428" t="n">
        <f aca="false">J29*10</f>
        <v>131.7</v>
      </c>
      <c r="L29" s="429" t="n">
        <v>4.016</v>
      </c>
      <c r="M29" s="436" t="n">
        <v>16</v>
      </c>
    </row>
    <row r="30" s="446" customFormat="true" ht="15" hidden="false" customHeight="false" outlineLevel="0" collapsed="false">
      <c r="A30" s="437" t="n">
        <v>15</v>
      </c>
      <c r="B30" s="427" t="n">
        <v>0.0571</v>
      </c>
      <c r="C30" s="438" t="n">
        <v>1.45</v>
      </c>
      <c r="D30" s="429" t="n">
        <v>1.547</v>
      </c>
      <c r="E30" s="439" t="n">
        <v>17.5</v>
      </c>
      <c r="F30" s="431" t="n">
        <v>6.9</v>
      </c>
      <c r="G30" s="440" t="n">
        <v>3.26</v>
      </c>
      <c r="H30" s="433" t="n">
        <f aca="false">I30/100</f>
        <v>0.0165</v>
      </c>
      <c r="I30" s="441" t="n">
        <v>1.65</v>
      </c>
      <c r="J30" s="435" t="n">
        <v>10.45</v>
      </c>
      <c r="K30" s="438" t="n">
        <f aca="false">J30*10</f>
        <v>104.5</v>
      </c>
      <c r="L30" s="429" t="n">
        <v>3.184</v>
      </c>
      <c r="M30" s="442" t="n">
        <v>15</v>
      </c>
    </row>
    <row r="31" customFormat="false" ht="15" hidden="false" customHeight="false" outlineLevel="0" collapsed="false">
      <c r="A31" s="426" t="n">
        <v>14</v>
      </c>
      <c r="B31" s="427" t="n">
        <v>0.0641</v>
      </c>
      <c r="C31" s="428" t="n">
        <v>1.628</v>
      </c>
      <c r="D31" s="429" t="n">
        <v>1.732</v>
      </c>
      <c r="E31" s="430" t="n">
        <v>15.6</v>
      </c>
      <c r="F31" s="431" t="n">
        <v>6.14</v>
      </c>
      <c r="G31" s="432" t="n">
        <v>4.11</v>
      </c>
      <c r="H31" s="433" t="n">
        <f aca="false">I31/100</f>
        <v>0.0208</v>
      </c>
      <c r="I31" s="434" t="n">
        <v>2.08</v>
      </c>
      <c r="J31" s="435" t="n">
        <v>8.286</v>
      </c>
      <c r="K31" s="428" t="n">
        <f aca="false">J31*10</f>
        <v>82.86</v>
      </c>
      <c r="L31" s="429" t="n">
        <v>2.525</v>
      </c>
      <c r="M31" s="436" t="n">
        <v>14</v>
      </c>
    </row>
    <row r="32" s="446" customFormat="true" ht="15" hidden="false" customHeight="false" outlineLevel="0" collapsed="false">
      <c r="A32" s="437" t="n">
        <v>13</v>
      </c>
      <c r="B32" s="427" t="n">
        <v>0.072</v>
      </c>
      <c r="C32" s="438" t="n">
        <v>1.828</v>
      </c>
      <c r="D32" s="429" t="n">
        <v>1.934</v>
      </c>
      <c r="E32" s="439" t="n">
        <v>13.9</v>
      </c>
      <c r="F32" s="431" t="n">
        <v>5.47</v>
      </c>
      <c r="G32" s="440" t="n">
        <v>5.18</v>
      </c>
      <c r="H32" s="433" t="n">
        <f aca="false">I32/100</f>
        <v>0.0262</v>
      </c>
      <c r="I32" s="441" t="n">
        <v>2.62</v>
      </c>
      <c r="J32" s="435" t="n">
        <v>6.571</v>
      </c>
      <c r="K32" s="438" t="n">
        <f aca="false">J32*10</f>
        <v>65.71</v>
      </c>
      <c r="L32" s="429" t="n">
        <v>2.003</v>
      </c>
      <c r="M32" s="442" t="n">
        <v>13</v>
      </c>
    </row>
    <row r="33" customFormat="false" ht="15" hidden="false" customHeight="false" outlineLevel="0" collapsed="false">
      <c r="A33" s="426" t="n">
        <v>12</v>
      </c>
      <c r="B33" s="427" t="n">
        <v>0.0808</v>
      </c>
      <c r="C33" s="428" t="n">
        <v>2.053</v>
      </c>
      <c r="D33" s="429" t="n">
        <v>2.163</v>
      </c>
      <c r="E33" s="430" t="n">
        <v>12.4</v>
      </c>
      <c r="F33" s="431" t="n">
        <v>4.87</v>
      </c>
      <c r="G33" s="432" t="n">
        <v>6.53</v>
      </c>
      <c r="H33" s="433" t="n">
        <f aca="false">I33/100</f>
        <v>0.0331</v>
      </c>
      <c r="I33" s="434" t="n">
        <v>3.31</v>
      </c>
      <c r="J33" s="435" t="n">
        <v>5.211</v>
      </c>
      <c r="K33" s="428" t="n">
        <f aca="false">J33*10</f>
        <v>52.11</v>
      </c>
      <c r="L33" s="429" t="n">
        <v>1.588</v>
      </c>
      <c r="M33" s="436" t="n">
        <v>12</v>
      </c>
    </row>
    <row r="34" s="446" customFormat="true" ht="15" hidden="false" customHeight="false" outlineLevel="0" collapsed="false">
      <c r="A34" s="437" t="n">
        <v>11</v>
      </c>
      <c r="B34" s="427" t="n">
        <v>0.0907</v>
      </c>
      <c r="C34" s="438" t="n">
        <v>2.305</v>
      </c>
      <c r="D34" s="429" t="n">
        <v>2.418</v>
      </c>
      <c r="E34" s="439" t="n">
        <v>11</v>
      </c>
      <c r="F34" s="431" t="n">
        <v>4.34</v>
      </c>
      <c r="G34" s="440" t="n">
        <v>8.23</v>
      </c>
      <c r="H34" s="433" t="n">
        <f aca="false">I34/100</f>
        <v>0.0417</v>
      </c>
      <c r="I34" s="441" t="n">
        <v>4.17</v>
      </c>
      <c r="J34" s="435" t="n">
        <v>4.132</v>
      </c>
      <c r="K34" s="438" t="n">
        <f aca="false">J34*10</f>
        <v>41.32</v>
      </c>
      <c r="L34" s="429" t="n">
        <v>1.26</v>
      </c>
      <c r="M34" s="442" t="n">
        <v>11</v>
      </c>
    </row>
    <row r="35" customFormat="false" ht="15" hidden="false" customHeight="false" outlineLevel="0" collapsed="false">
      <c r="A35" s="426" t="n">
        <v>10</v>
      </c>
      <c r="B35" s="427" t="n">
        <v>0.1019</v>
      </c>
      <c r="C35" s="428" t="n">
        <v>2.588</v>
      </c>
      <c r="D35" s="429" t="n">
        <v>2.703</v>
      </c>
      <c r="E35" s="430" t="n">
        <v>9.81</v>
      </c>
      <c r="F35" s="431" t="n">
        <v>3.86</v>
      </c>
      <c r="G35" s="432" t="n">
        <v>10.4</v>
      </c>
      <c r="H35" s="433" t="n">
        <f aca="false">I35/100</f>
        <v>0.0526</v>
      </c>
      <c r="I35" s="434" t="n">
        <v>5.26</v>
      </c>
      <c r="J35" s="435" t="n">
        <v>3.277</v>
      </c>
      <c r="K35" s="428" t="n">
        <f aca="false">J35*10</f>
        <v>32.77</v>
      </c>
      <c r="L35" s="429" t="n">
        <v>0.9989</v>
      </c>
      <c r="M35" s="436" t="n">
        <v>10</v>
      </c>
    </row>
    <row r="36" s="446" customFormat="true" ht="15" hidden="false" customHeight="false" outlineLevel="0" collapsed="false">
      <c r="A36" s="437" t="n">
        <v>9</v>
      </c>
      <c r="B36" s="427" t="n">
        <v>0.1144</v>
      </c>
      <c r="C36" s="438" t="n">
        <v>2.906</v>
      </c>
      <c r="D36" s="429" t="n">
        <v>0</v>
      </c>
      <c r="E36" s="439" t="n">
        <v>8.74</v>
      </c>
      <c r="F36" s="431" t="n">
        <v>3.44</v>
      </c>
      <c r="G36" s="440" t="n">
        <v>13.1</v>
      </c>
      <c r="H36" s="433" t="n">
        <f aca="false">I36/100</f>
        <v>0.0663</v>
      </c>
      <c r="I36" s="441" t="n">
        <v>6.63</v>
      </c>
      <c r="J36" s="435" t="n">
        <v>2.599</v>
      </c>
      <c r="K36" s="438" t="n">
        <f aca="false">J36*10</f>
        <v>25.99</v>
      </c>
      <c r="L36" s="429" t="n">
        <v>0.7921</v>
      </c>
      <c r="M36" s="442" t="n">
        <v>9</v>
      </c>
    </row>
    <row r="37" customFormat="false" ht="15" hidden="false" customHeight="false" outlineLevel="0" collapsed="false">
      <c r="A37" s="426" t="n">
        <v>8</v>
      </c>
      <c r="B37" s="427" t="n">
        <v>0.1285</v>
      </c>
      <c r="C37" s="428" t="n">
        <v>3.264</v>
      </c>
      <c r="D37" s="429" t="n">
        <v>0</v>
      </c>
      <c r="E37" s="430" t="n">
        <v>7.78</v>
      </c>
      <c r="F37" s="431" t="n">
        <v>3.06</v>
      </c>
      <c r="G37" s="432" t="n">
        <v>16.5</v>
      </c>
      <c r="H37" s="433" t="n">
        <f aca="false">I37/100</f>
        <v>0.0837</v>
      </c>
      <c r="I37" s="434" t="n">
        <v>8.37</v>
      </c>
      <c r="J37" s="435" t="n">
        <v>2.061</v>
      </c>
      <c r="K37" s="428" t="n">
        <f aca="false">J37*10</f>
        <v>20.61</v>
      </c>
      <c r="L37" s="429" t="n">
        <v>0.6282</v>
      </c>
      <c r="M37" s="436" t="n">
        <v>8</v>
      </c>
    </row>
    <row r="38" s="446" customFormat="true" ht="15" hidden="false" customHeight="false" outlineLevel="0" collapsed="false">
      <c r="A38" s="437" t="n">
        <v>7</v>
      </c>
      <c r="B38" s="427" t="n">
        <v>0.1443</v>
      </c>
      <c r="C38" s="438" t="n">
        <v>3.665</v>
      </c>
      <c r="D38" s="429" t="n">
        <v>0</v>
      </c>
      <c r="E38" s="439" t="n">
        <v>6.93</v>
      </c>
      <c r="F38" s="431" t="n">
        <v>2.73</v>
      </c>
      <c r="G38" s="440" t="n">
        <v>20.8</v>
      </c>
      <c r="H38" s="433" t="n">
        <f aca="false">I38/100</f>
        <v>0.105</v>
      </c>
      <c r="I38" s="441" t="n">
        <v>10.5</v>
      </c>
      <c r="J38" s="435" t="n">
        <v>1.634</v>
      </c>
      <c r="K38" s="438" t="n">
        <f aca="false">J38*10</f>
        <v>16.34</v>
      </c>
      <c r="L38" s="429" t="n">
        <v>0.4982</v>
      </c>
      <c r="M38" s="442" t="n">
        <v>7</v>
      </c>
    </row>
    <row r="39" customFormat="false" ht="15" hidden="false" customHeight="false" outlineLevel="0" collapsed="false">
      <c r="A39" s="426" t="n">
        <v>6</v>
      </c>
      <c r="B39" s="427" t="n">
        <v>0.162</v>
      </c>
      <c r="C39" s="428" t="n">
        <v>4.115</v>
      </c>
      <c r="D39" s="429" t="n">
        <v>0</v>
      </c>
      <c r="E39" s="430" t="n">
        <v>6.17</v>
      </c>
      <c r="F39" s="431" t="n">
        <v>2.43</v>
      </c>
      <c r="G39" s="432" t="n">
        <v>26.3</v>
      </c>
      <c r="H39" s="433" t="n">
        <f aca="false">I39/100</f>
        <v>0.133</v>
      </c>
      <c r="I39" s="434" t="n">
        <v>13.3</v>
      </c>
      <c r="J39" s="435" t="n">
        <v>1.296</v>
      </c>
      <c r="K39" s="428" t="n">
        <f aca="false">J39*10</f>
        <v>12.96</v>
      </c>
      <c r="L39" s="429" t="n">
        <v>0.3951</v>
      </c>
      <c r="M39" s="436" t="n">
        <v>6</v>
      </c>
    </row>
    <row r="40" s="446" customFormat="true" ht="15" hidden="false" customHeight="false" outlineLevel="0" collapsed="false">
      <c r="A40" s="437" t="n">
        <v>5</v>
      </c>
      <c r="B40" s="427" t="n">
        <v>0.1819</v>
      </c>
      <c r="C40" s="438" t="n">
        <v>4.621</v>
      </c>
      <c r="D40" s="429" t="n">
        <v>0</v>
      </c>
      <c r="E40" s="439" t="n">
        <v>5.5</v>
      </c>
      <c r="F40" s="431" t="n">
        <v>2.16</v>
      </c>
      <c r="G40" s="440" t="n">
        <v>33.1</v>
      </c>
      <c r="H40" s="433" t="n">
        <f aca="false">I40/100</f>
        <v>0.168</v>
      </c>
      <c r="I40" s="441" t="n">
        <v>16.8</v>
      </c>
      <c r="J40" s="435" t="n">
        <v>1.028</v>
      </c>
      <c r="K40" s="438" t="n">
        <f aca="false">J40*10</f>
        <v>10.28</v>
      </c>
      <c r="L40" s="429" t="n">
        <v>0.3133</v>
      </c>
      <c r="M40" s="442" t="n">
        <v>5</v>
      </c>
    </row>
    <row r="41" customFormat="false" ht="15" hidden="false" customHeight="false" outlineLevel="0" collapsed="false">
      <c r="A41" s="426" t="n">
        <v>4</v>
      </c>
      <c r="B41" s="427" t="n">
        <v>0.2043</v>
      </c>
      <c r="C41" s="428" t="n">
        <v>5.189</v>
      </c>
      <c r="D41" s="429" t="n">
        <v>0</v>
      </c>
      <c r="E41" s="430" t="n">
        <v>4.89</v>
      </c>
      <c r="F41" s="431" t="n">
        <v>1.93</v>
      </c>
      <c r="G41" s="432" t="n">
        <v>41.7</v>
      </c>
      <c r="H41" s="433" t="n">
        <f aca="false">I41/100</f>
        <v>0.212</v>
      </c>
      <c r="I41" s="434" t="n">
        <v>21.2</v>
      </c>
      <c r="J41" s="435" t="n">
        <v>0.8152</v>
      </c>
      <c r="K41" s="428" t="n">
        <f aca="false">J41*10</f>
        <v>8.152</v>
      </c>
      <c r="L41" s="429" t="n">
        <v>0.2485</v>
      </c>
      <c r="M41" s="436" t="n">
        <v>4</v>
      </c>
    </row>
    <row r="42" s="446" customFormat="true" ht="15" hidden="false" customHeight="false" outlineLevel="0" collapsed="false">
      <c r="A42" s="437" t="n">
        <v>3</v>
      </c>
      <c r="B42" s="427" t="n">
        <v>0.2294</v>
      </c>
      <c r="C42" s="438" t="n">
        <v>5.827</v>
      </c>
      <c r="D42" s="429" t="n">
        <v>0</v>
      </c>
      <c r="E42" s="439" t="n">
        <v>4.36</v>
      </c>
      <c r="F42" s="431" t="n">
        <v>1.72</v>
      </c>
      <c r="G42" s="440" t="n">
        <v>52.6</v>
      </c>
      <c r="H42" s="433" t="n">
        <f aca="false">I42/100</f>
        <v>0.267</v>
      </c>
      <c r="I42" s="441" t="n">
        <v>26.7</v>
      </c>
      <c r="J42" s="435" t="n">
        <v>0.6465</v>
      </c>
      <c r="K42" s="438" t="n">
        <f aca="false">J42*10</f>
        <v>6.465</v>
      </c>
      <c r="L42" s="429" t="n">
        <v>0.197</v>
      </c>
      <c r="M42" s="442" t="n">
        <v>3</v>
      </c>
    </row>
    <row r="43" customFormat="false" ht="15" hidden="false" customHeight="false" outlineLevel="0" collapsed="false">
      <c r="A43" s="426" t="n">
        <v>2</v>
      </c>
      <c r="B43" s="427" t="n">
        <v>0.2576</v>
      </c>
      <c r="C43" s="428" t="n">
        <v>6.544</v>
      </c>
      <c r="D43" s="429" t="n">
        <v>0</v>
      </c>
      <c r="E43" s="430" t="n">
        <v>3.88</v>
      </c>
      <c r="F43" s="431" t="n">
        <v>1.53</v>
      </c>
      <c r="G43" s="432" t="n">
        <v>66.4</v>
      </c>
      <c r="H43" s="433" t="n">
        <f aca="false">I43/100</f>
        <v>0.336</v>
      </c>
      <c r="I43" s="434" t="n">
        <v>33.6</v>
      </c>
      <c r="J43" s="435" t="n">
        <v>0.5127</v>
      </c>
      <c r="K43" s="428" t="n">
        <f aca="false">J43*10</f>
        <v>5.127</v>
      </c>
      <c r="L43" s="429" t="n">
        <v>0.1563</v>
      </c>
      <c r="M43" s="436" t="n">
        <v>2</v>
      </c>
    </row>
    <row r="44" s="446" customFormat="true" ht="15" hidden="false" customHeight="false" outlineLevel="0" collapsed="false">
      <c r="A44" s="437" t="n">
        <v>1</v>
      </c>
      <c r="B44" s="447" t="n">
        <v>0.2893</v>
      </c>
      <c r="C44" s="448" t="n">
        <v>7.348</v>
      </c>
      <c r="D44" s="449" t="n">
        <v>0</v>
      </c>
      <c r="E44" s="450" t="n">
        <v>3.46</v>
      </c>
      <c r="F44" s="451" t="n">
        <v>1.36</v>
      </c>
      <c r="G44" s="452" t="n">
        <v>83.7</v>
      </c>
      <c r="H44" s="453" t="n">
        <f aca="false">I44/100</f>
        <v>0.424</v>
      </c>
      <c r="I44" s="454" t="n">
        <v>42.4</v>
      </c>
      <c r="J44" s="455" t="n">
        <v>0.4066</v>
      </c>
      <c r="K44" s="448" t="n">
        <f aca="false">J44*10</f>
        <v>4.066</v>
      </c>
      <c r="L44" s="449" t="n">
        <v>0.1239</v>
      </c>
      <c r="M44" s="456" t="n">
        <v>1</v>
      </c>
    </row>
  </sheetData>
  <mergeCells count="17">
    <mergeCell ref="A1:A4"/>
    <mergeCell ref="B1:D2"/>
    <mergeCell ref="E1:F2"/>
    <mergeCell ref="G1:I2"/>
    <mergeCell ref="J1:L2"/>
    <mergeCell ref="M1:M4"/>
    <mergeCell ref="B3:B4"/>
    <mergeCell ref="C3:C4"/>
    <mergeCell ref="D3:D4"/>
    <mergeCell ref="E3:E4"/>
    <mergeCell ref="F3:F4"/>
    <mergeCell ref="G3:G4"/>
    <mergeCell ref="H3:H4"/>
    <mergeCell ref="I3:I4"/>
    <mergeCell ref="J3:J4"/>
    <mergeCell ref="K3:K4"/>
    <mergeCell ref="L3:L4"/>
  </mergeCells>
  <hyperlinks>
    <hyperlink ref="D3" r:id="rId2" display="With Insul&#10;(mm)"/>
    <hyperlink ref="G3" r:id="rId3" display="(kcmil)"/>
  </hyperlink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legacyDrawing r:id="rId4"/>
</worksheet>
</file>

<file path=docProps/app.xml><?xml version="1.0" encoding="utf-8"?>
<Properties xmlns="http://schemas.openxmlformats.org/officeDocument/2006/extended-properties" xmlns:vt="http://schemas.openxmlformats.org/officeDocument/2006/docPropsVTypes">
  <Template/>
  <TotalTime>33510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2020-01-09T10:14:07Z</dcterms:created>
  <dc:creator/>
  <dc:description/>
  <dc:language>en-US</dc:language>
  <cp:lastModifiedBy/>
  <dcterms:modified xsi:type="dcterms:W3CDTF">2020-08-28T16:29:48Z</dcterms:modified>
  <cp:revision>357</cp:revision>
  <dc:subject/>
  <dc:title/>
</cp:coreProperties>
</file>