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ign" sheetId="1" state="visible" r:id="rId2"/>
    <sheet name="thermal" sheetId="2" state="visible" r:id="rId3"/>
    <sheet name="wireawg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3" authorId="0">
      <text>
        <r>
          <rPr>
            <b val="true"/>
            <sz val="9"/>
            <color rgb="FF000000"/>
            <rFont val="Calibri"/>
            <family val="2"/>
          </rPr>
          <t xml:space="preserve">Brian Cornell:
</t>
        </r>
      </text>
    </comment>
  </commentList>
</comments>
</file>

<file path=xl/sharedStrings.xml><?xml version="1.0" encoding="utf-8"?>
<sst xmlns="http://schemas.openxmlformats.org/spreadsheetml/2006/main" count="220" uniqueCount="203">
  <si>
    <t xml:space="preserve">Continuous Conduction SEPIC Topology for PV-based Charger</t>
  </si>
  <si>
    <t xml:space="preserve">*** Coupled Inductor Prototype ***</t>
  </si>
  <si>
    <t xml:space="preserve">Section</t>
  </si>
  <si>
    <t xml:space="preserve">Parameter</t>
  </si>
  <si>
    <t xml:space="preserve">Value</t>
  </si>
  <si>
    <t xml:space="preserve">Notes</t>
  </si>
  <si>
    <t xml:space="preserve">General Operating Parameters</t>
  </si>
  <si>
    <t xml:space="preserve">V_in(min)</t>
  </si>
  <si>
    <t xml:space="preserve">V_in(max)</t>
  </si>
  <si>
    <t xml:space="preserve">V_in(nom)</t>
  </si>
  <si>
    <t xml:space="preserve">Two Renogy RNG-270P-G1 panels in series</t>
  </si>
  <si>
    <t xml:space="preserve">V_out</t>
  </si>
  <si>
    <t xml:space="preserve">Stack of four 12V lead-acid batteries</t>
  </si>
  <si>
    <t xml:space="preserve">P_out</t>
  </si>
  <si>
    <t xml:space="preserve">I_out</t>
  </si>
  <si>
    <t xml:space="preserve">η</t>
  </si>
  <si>
    <t xml:space="preserve">P_in</t>
  </si>
  <si>
    <t xml:space="preserve">P_budget</t>
  </si>
  <si>
    <t xml:space="preserve">Power budget</t>
  </si>
  <si>
    <t xml:space="preserve">I_in(nom)</t>
  </si>
  <si>
    <t xml:space="preserve">Assumes PS is matched to PV panel’s maximum [constant] current</t>
  </si>
  <si>
    <t xml:space="preserve">I_T</t>
  </si>
  <si>
    <t xml:space="preserve">I_out + I_in(nom)</t>
  </si>
  <si>
    <t xml:space="preserve">F</t>
  </si>
  <si>
    <t xml:space="preserve">Switching frequency</t>
  </si>
  <si>
    <t xml:space="preserve">T</t>
  </si>
  <si>
    <t xml:space="preserve">Switching period</t>
  </si>
  <si>
    <t xml:space="preserve">V_f</t>
  </si>
  <si>
    <t xml:space="preserve">Rectifier forward voltage</t>
  </si>
  <si>
    <t xml:space="preserve">D_M</t>
  </si>
  <si>
    <t xml:space="preserve">Maximum duty cycle</t>
  </si>
  <si>
    <t xml:space="preserve">D_m</t>
  </si>
  <si>
    <t xml:space="preserve">Minimum duty cycle</t>
  </si>
  <si>
    <t xml:space="preserve">D_n</t>
  </si>
  <si>
    <t xml:space="preserve">Nominal duty cycle</t>
  </si>
  <si>
    <t xml:space="preserve">Coupled
 Inductor</t>
  </si>
  <si>
    <t xml:space="preserve">I_L(r%)</t>
  </si>
  <si>
    <t xml:space="preserve">Inductor current ripple</t>
  </si>
  <si>
    <t xml:space="preserve">I_L(r)</t>
  </si>
  <si>
    <t xml:space="preserve">Maximum inductor ripple current</t>
  </si>
  <si>
    <t xml:space="preserve">P_out(m)</t>
  </si>
  <si>
    <t xml:space="preserve">Minimum output power for CCM based on I_L(r)</t>
  </si>
  <si>
    <t xml:space="preserve">L_(m)</t>
  </si>
  <si>
    <t xml:space="preserve">Minimum inductor value based on Jeff Falin paper</t>
  </si>
  <si>
    <t xml:space="preserve">L_l(e)</t>
  </si>
  <si>
    <t xml:space="preserve">Estimated leakage inductance to set C_ac induced current ripple equal to magnetizing current</t>
  </si>
  <si>
    <t xml:space="preserve">L_(min_a)</t>
  </si>
  <si>
    <t xml:space="preserve">Alternate calculation using P_out(min) from John Betten paper</t>
  </si>
  <si>
    <t xml:space="preserve">I_Lp(a)</t>
  </si>
  <si>
    <t xml:space="preserve">I_in(nom) + ½ I_L(r)</t>
  </si>
  <si>
    <t xml:space="preserve">I_Lp(b)</t>
  </si>
  <si>
    <t xml:space="preserve">I_out + ½ I_L(r)</t>
  </si>
  <si>
    <t xml:space="preserve">I_t</t>
  </si>
  <si>
    <t xml:space="preserve">Total inductor current:  I_Lp(a) + I_Lp(b)</t>
  </si>
  <si>
    <t xml:space="preserve">I_L(sat_m%)</t>
  </si>
  <si>
    <t xml:space="preserve">Inductor saturation margin</t>
  </si>
  <si>
    <t xml:space="preserve">I_L(sat)</t>
  </si>
  <si>
    <t xml:space="preserve">Inductor saturation current requirement</t>
  </si>
  <si>
    <t xml:space="preserve">RM Core Winding Estimator
Build: bobbin:L2:L1
(steers ripple to L2)</t>
  </si>
  <si>
    <t xml:space="preserve">N</t>
  </si>
  <si>
    <t xml:space="preserve">Number of turns from Titan design SW, accounts for fringing flux</t>
  </si>
  <si>
    <t xml:space="preserve">N_s</t>
  </si>
  <si>
    <t xml:space="preserve">Number of strands</t>
  </si>
  <si>
    <t xml:space="preserve">N_awg</t>
  </si>
  <si>
    <t xml:space="preserve">Wire AWG</t>
  </si>
  <si>
    <t xml:space="preserve">N_d, cm</t>
  </si>
  <si>
    <t xml:space="preserve">Wire diameter</t>
  </si>
  <si>
    <t xml:space="preserve">MLT, cm</t>
  </si>
  <si>
    <t xml:space="preserve">Mean Length Turn</t>
  </si>
  <si>
    <t xml:space="preserve">A_L, H</t>
  </si>
  <si>
    <t xml:space="preserve">nH*N^2</t>
  </si>
  <si>
    <t xml:space="preserve">a, cm</t>
  </si>
  <si>
    <t xml:space="preserve">Length of windings (e.g. bobbin winding length)</t>
  </si>
  <si>
    <t xml:space="preserve">N_t</t>
  </si>
  <si>
    <t xml:space="preserve">Turns per layer</t>
  </si>
  <si>
    <t xml:space="preserve">N_l</t>
  </si>
  <si>
    <t xml:space="preserve">Layers per winding</t>
  </si>
  <si>
    <t xml:space="preserve">b, cm</t>
  </si>
  <si>
    <t xml:space="preserve">Thickness of winding build</t>
  </si>
  <si>
    <t xml:space="preserve">c_t, cm</t>
  </si>
  <si>
    <t xml:space="preserve">Thickness of insulation (tape) used between windings</t>
  </si>
  <si>
    <t xml:space="preserve">c_n</t>
  </si>
  <si>
    <t xml:space="preserve">Number of layers of insulation</t>
  </si>
  <si>
    <t xml:space="preserve">c, cm</t>
  </si>
  <si>
    <t xml:space="preserve">Tickness of insulation layer</t>
  </si>
  <si>
    <t xml:space="preserve">L_l</t>
  </si>
  <si>
    <t xml:space="preserve">Estimated winding leakage inductance</t>
  </si>
  <si>
    <t xml:space="preserve">L_r</t>
  </si>
  <si>
    <t xml:space="preserve">Ratio L_l to L_(m)</t>
  </si>
  <si>
    <t xml:space="preserve">b_T, cm</t>
  </si>
  <si>
    <t xml:space="preserve">Total thickness of winding &amp; insulation build</t>
  </si>
  <si>
    <t xml:space="preserve">L_l(Z)</t>
  </si>
  <si>
    <t xml:space="preserve">Leakage inductance impedance @ switching frequency, F</t>
  </si>
  <si>
    <t xml:space="preserve">I_l(z)</t>
  </si>
  <si>
    <t xml:space="preserve">C_ac(s) ripple current with L_l(z) impedance</t>
  </si>
  <si>
    <t xml:space="preserve">AC Coupling
 Capacitor</t>
  </si>
  <si>
    <t xml:space="preserve">I_Lp(a%)</t>
  </si>
  <si>
    <t xml:space="preserve">Primary inductor current limit margin (e.g. current limit engages)</t>
  </si>
  <si>
    <t xml:space="preserve">I_Lp(a_M)</t>
  </si>
  <si>
    <t xml:space="preserve">Maximum allowed current thru primary inductor</t>
  </si>
  <si>
    <t xml:space="preserve">V_ac(p)</t>
  </si>
  <si>
    <t xml:space="preserve">Voltage margin to maintain coupling capacitor polarity</t>
  </si>
  <si>
    <t xml:space="preserve">C_ac(m)</t>
  </si>
  <si>
    <t xml:space="preserve">Minimum coupling capacitor value</t>
  </si>
  <si>
    <t xml:space="preserve">C_ac(s)</t>
  </si>
  <si>
    <t xml:space="preserve">Selected coupling capacitor value</t>
  </si>
  <si>
    <t xml:space="preserve">V_ac_n(pp)</t>
  </si>
  <si>
    <t xml:space="preserve">Ripple voltage across selected coupling capacitor @ D_n, p-p</t>
  </si>
  <si>
    <t xml:space="preserve">V_ac_n(rms)</t>
  </si>
  <si>
    <t xml:space="preserve">Ripple voltage across selected coupling capacitor @ D_n, rms</t>
  </si>
  <si>
    <t xml:space="preserve">V_C_ac(m)</t>
  </si>
  <si>
    <t xml:space="preserve">Minimum voltage rating for selected coupling capacitor</t>
  </si>
  <si>
    <t xml:space="preserve">V_ac_M(pp)</t>
  </si>
  <si>
    <t xml:space="preserve">Ripple voltage across selected coupling capacitor @ D_M, p-p</t>
  </si>
  <si>
    <t xml:space="preserve">I_C_ac(rms)</t>
  </si>
  <si>
    <t xml:space="preserve">Minimum RMS current rating for selected coupling capacitor</t>
  </si>
  <si>
    <t xml:space="preserve">F_r(ac)</t>
  </si>
  <si>
    <t xml:space="preserve">Resonant frequency of C_ac(s) and L_l</t>
  </si>
  <si>
    <t xml:space="preserve">Power Distribution Wiring
 Inductance &amp; Input
 Capacitor Sizing</t>
  </si>
  <si>
    <t xml:space="preserve">Length, cm</t>
  </si>
  <si>
    <t xml:space="preserve">Length from PV panels to power supply</t>
  </si>
  <si>
    <t xml:space="preserve">Spacing, cm</t>
  </si>
  <si>
    <t xml:space="preserve">The average distance between the individual wires in the pair</t>
  </si>
  <si>
    <t xml:space="preserve">Gauge, AWG</t>
  </si>
  <si>
    <t xml:space="preserve">Distribution wiring gauge</t>
  </si>
  <si>
    <t xml:space="preserve">Diameter, cm</t>
  </si>
  <si>
    <t xml:space="preserve">Diameter of selected wire gauge</t>
  </si>
  <si>
    <t xml:space="preserve">L_pd</t>
  </si>
  <si>
    <t xml:space="preserve">Approximate inductance of distribution wiring</t>
  </si>
  <si>
    <t xml:space="preserve">V_pd</t>
  </si>
  <si>
    <t xml:space="preserve">Maximum allowed noise on distribution wiring</t>
  </si>
  <si>
    <t xml:space="preserve">V_pd%</t>
  </si>
  <si>
    <t xml:space="preserve">Noise derating in percent</t>
  </si>
  <si>
    <t xml:space="preserve">V_pd(m)</t>
  </si>
  <si>
    <t xml:space="preserve">Permissible noise margin</t>
  </si>
  <si>
    <t xml:space="preserve">X_pd</t>
  </si>
  <si>
    <t xml:space="preserve">Permissible common path impedance</t>
  </si>
  <si>
    <t xml:space="preserve">F_pd</t>
  </si>
  <si>
    <t xml:space="preserve">Distribution wiring knee frequency</t>
  </si>
  <si>
    <t xml:space="preserve">C_in(m)</t>
  </si>
  <si>
    <t xml:space="preserve">Minimum input capacitor value to meet V_pd</t>
  </si>
  <si>
    <t xml:space="preserve">I_c(in_rms)</t>
  </si>
  <si>
    <t xml:space="preserve">Input capacitor minimum RMS current rating</t>
  </si>
  <si>
    <t xml:space="preserve">Output
 Capacitor
 Sizing</t>
  </si>
  <si>
    <t xml:space="preserve">V_out(rd)</t>
  </si>
  <si>
    <t xml:space="preserve">Desired maximum output voltage ripple</t>
  </si>
  <si>
    <t xml:space="preserve">C_out(m)</t>
  </si>
  <si>
    <t xml:space="preserve">Minimum output capacitor value to meet V_out(rd) with no ESR</t>
  </si>
  <si>
    <t xml:space="preserve">C_out(s)</t>
  </si>
  <si>
    <t xml:space="preserve">Selected output capacitor value</t>
  </si>
  <si>
    <t xml:space="preserve">ESR_C(out)</t>
  </si>
  <si>
    <t xml:space="preserve">Selected output capacitor ESR</t>
  </si>
  <si>
    <t xml:space="preserve">V_out(rs)</t>
  </si>
  <si>
    <t xml:space="preserve">Maximum output voltage ripple with C_out(s)</t>
  </si>
  <si>
    <t xml:space="preserve">I_rms(c_out)</t>
  </si>
  <si>
    <t xml:space="preserve">C_out RMS current @ P_out and V_in(nom)</t>
  </si>
  <si>
    <t xml:space="preserve">Flyback MOSFET</t>
  </si>
  <si>
    <t xml:space="preserve">Power Dissipation</t>
  </si>
  <si>
    <t xml:space="preserve">Thermal Model</t>
  </si>
  <si>
    <t xml:space="preserve">Transistor</t>
  </si>
  <si>
    <t xml:space="preserve">SQP90142E</t>
  </si>
  <si>
    <t xml:space="preserve">Static</t>
  </si>
  <si>
    <t xml:space="preserve">Forced</t>
  </si>
  <si>
    <t xml:space="preserve">Maximum Rds(on)</t>
  </si>
  <si>
    <t xml:space="preserve">Junction-Case, C/W</t>
  </si>
  <si>
    <t xml:space="preserve">Rise time, tr</t>
  </si>
  <si>
    <t xml:space="preserve">Fall time, fr</t>
  </si>
  <si>
    <t xml:space="preserve">Case-Ambient, C/W</t>
  </si>
  <si>
    <r>
      <rPr>
        <sz val="10"/>
        <rFont val="Arial"/>
        <family val="2"/>
      </rPr>
      <t xml:space="preserve">Ref. hs-test-theta workbook.  Ohmite </t>
    </r>
    <r>
      <rPr>
        <sz val="10"/>
        <color rgb="FF000000"/>
        <rFont val="Arial"/>
        <family val="2"/>
      </rPr>
      <t xml:space="preserve">C220-025-1VE heatsink.  </t>
    </r>
    <r>
      <rPr>
        <sz val="10"/>
        <rFont val="Arial"/>
        <family val="2"/>
      </rPr>
      <t xml:space="preserve">Includes coefficient of tab-HS insulator &amp; Faraday screen.</t>
    </r>
  </si>
  <si>
    <t xml:space="preserve">Vds</t>
  </si>
  <si>
    <t xml:space="preserve">Rise, C/W</t>
  </si>
  <si>
    <t xml:space="preserve">RMS Current</t>
  </si>
  <si>
    <r>
      <rPr>
        <sz val="10"/>
        <rFont val="Arial"/>
        <family val="2"/>
      </rPr>
      <t xml:space="preserve">Rise T</t>
    </r>
    <r>
      <rPr>
        <vertAlign val="subscript"/>
        <sz val="12"/>
        <color rgb="FF000000"/>
        <rFont val="Calibri (Body)"/>
        <family val="0"/>
      </rPr>
      <t xml:space="preserve">J</t>
    </r>
    <r>
      <rPr>
        <sz val="12"/>
        <color rgb="FF000000"/>
        <rFont val="Calibri"/>
        <family val="2"/>
      </rPr>
      <t xml:space="preserve"> @ Max W</t>
    </r>
  </si>
  <si>
    <r>
      <rPr>
        <sz val="10"/>
        <rFont val="Arial"/>
        <family val="2"/>
      </rPr>
      <t xml:space="preserve">Max ambient, T</t>
    </r>
    <r>
      <rPr>
        <vertAlign val="subscript"/>
        <sz val="12"/>
        <color rgb="FF000000"/>
        <rFont val="Calibri (Body)"/>
        <family val="0"/>
      </rPr>
      <t xml:space="preserve">A(max)</t>
    </r>
  </si>
  <si>
    <t xml:space="preserve">Period</t>
  </si>
  <si>
    <r>
      <rPr>
        <sz val="10"/>
        <rFont val="Arial"/>
        <family val="2"/>
      </rPr>
      <t xml:space="preserve">T</t>
    </r>
    <r>
      <rPr>
        <vertAlign val="subscript"/>
        <sz val="12"/>
        <color rgb="FF000000"/>
        <rFont val="Calibri (Body)"/>
        <family val="0"/>
      </rPr>
      <t xml:space="preserve">J</t>
    </r>
    <r>
      <rPr>
        <sz val="12"/>
        <color rgb="FF000000"/>
        <rFont val="Calibri"/>
        <family val="2"/>
      </rPr>
      <t xml:space="preserve"> @ max working ambient, C</t>
    </r>
  </si>
  <si>
    <t xml:space="preserve">Maximum duty cycle @ RMS Current</t>
  </si>
  <si>
    <r>
      <rPr>
        <sz val="10"/>
        <rFont val="Arial"/>
        <family val="2"/>
      </rPr>
      <t xml:space="preserve">Rise time loss, P</t>
    </r>
    <r>
      <rPr>
        <vertAlign val="subscript"/>
        <sz val="12"/>
        <color rgb="FF000000"/>
        <rFont val="Calibri (Body)"/>
        <family val="0"/>
      </rPr>
      <t xml:space="preserve">D(r)</t>
    </r>
  </si>
  <si>
    <r>
      <rPr>
        <sz val="10"/>
        <rFont val="Arial"/>
        <family val="2"/>
      </rPr>
      <t xml:space="preserve">Fall time loss, P</t>
    </r>
    <r>
      <rPr>
        <vertAlign val="subscript"/>
        <sz val="12"/>
        <color rgb="FF000000"/>
        <rFont val="Calibri (Body)"/>
        <family val="0"/>
      </rPr>
      <t xml:space="preserve">D(f)</t>
    </r>
  </si>
  <si>
    <r>
      <rPr>
        <sz val="10"/>
        <rFont val="Arial"/>
        <family val="2"/>
      </rPr>
      <t xml:space="preserve">Conduction loss, P</t>
    </r>
    <r>
      <rPr>
        <vertAlign val="subscript"/>
        <sz val="12"/>
        <color rgb="FF000000"/>
        <rFont val="Calibri (Body)"/>
        <family val="0"/>
      </rPr>
      <t xml:space="preserve">D(c)</t>
    </r>
  </si>
  <si>
    <t xml:space="preserve">Total losses</t>
  </si>
  <si>
    <t xml:space="preserve">Rectifier</t>
  </si>
  <si>
    <t xml:space="preserve">12TQ200</t>
  </si>
  <si>
    <t xml:space="preserve">Forward voltage @ V_f2</t>
  </si>
  <si>
    <t xml:space="preserve">Reverse recovery time, Trr</t>
  </si>
  <si>
    <t xml:space="preserve">Maximum reverse voltage across diode</t>
  </si>
  <si>
    <r>
      <rPr>
        <sz val="10"/>
        <rFont val="Arial"/>
        <family val="2"/>
      </rPr>
      <t xml:space="preserve">Conduction loss, P</t>
    </r>
    <r>
      <rPr>
        <vertAlign val="subscript"/>
        <sz val="12"/>
        <color rgb="FF000000"/>
        <rFont val="Calibri (Body)"/>
        <family val="0"/>
      </rPr>
      <t xml:space="preserve">D(c)(i)</t>
    </r>
  </si>
  <si>
    <t xml:space="preserve">AWG</t>
  </si>
  <si>
    <t xml:space="preserve">Diameter</t>
  </si>
  <si>
    <t xml:space="preserve">Turns of wire,
no insulation</t>
  </si>
  <si>
    <t xml:space="preserve">Area</t>
  </si>
  <si>
    <t xml:space="preserve">Copper Resistance</t>
  </si>
  <si>
    <t xml:space="preserve">(in)</t>
  </si>
  <si>
    <t xml:space="preserve">Bare
(mm)</t>
  </si>
  <si>
    <t xml:space="preserve">With Insul
(mm)</t>
  </si>
  <si>
    <t xml:space="preserve">(per in)</t>
  </si>
  <si>
    <t xml:space="preserve">(per cm)</t>
  </si>
  <si>
    <t xml:space="preserve">(kcmil)</t>
  </si>
  <si>
    <r>
      <rPr>
        <b val="true"/>
        <sz val="12"/>
        <color rgb="FF000000"/>
        <rFont val="Calibri"/>
        <family val="2"/>
      </rPr>
      <t xml:space="preserve">(cm</t>
    </r>
    <r>
      <rPr>
        <b val="true"/>
        <vertAlign val="superscript"/>
        <sz val="12"/>
        <color rgb="FF000000"/>
        <rFont val="Calibri"/>
        <family val="2"/>
      </rPr>
      <t xml:space="preserve">2</t>
    </r>
    <r>
      <rPr>
        <b val="true"/>
        <sz val="12"/>
        <color rgb="FF000000"/>
        <rFont val="Calibri"/>
        <family val="2"/>
      </rPr>
      <t xml:space="preserve">)</t>
    </r>
  </si>
  <si>
    <r>
      <rPr>
        <b val="true"/>
        <sz val="12"/>
        <color rgb="FF000000"/>
        <rFont val="Calibri"/>
        <family val="2"/>
      </rPr>
      <t xml:space="preserve">(mm</t>
    </r>
    <r>
      <rPr>
        <b val="true"/>
        <vertAlign val="superscript"/>
        <sz val="12"/>
        <color rgb="FF000000"/>
        <rFont val="Calibri"/>
        <family val="2"/>
      </rPr>
      <t xml:space="preserve">2</t>
    </r>
    <r>
      <rPr>
        <b val="true"/>
        <sz val="12"/>
        <color rgb="FF000000"/>
        <rFont val="Calibri"/>
        <family val="2"/>
      </rPr>
      <t xml:space="preserve">)</t>
    </r>
  </si>
  <si>
    <t xml:space="preserve">(mΩ/m)</t>
  </si>
  <si>
    <t xml:space="preserve">(uΩ/cm)</t>
  </si>
  <si>
    <t xml:space="preserve">(mΩ/ft)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</si>
</sst>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#,###.000"/>
    <numFmt numFmtId="166" formatCode="0.000%"/>
    <numFmt numFmtId="167" formatCode="##0.00E+00"/>
    <numFmt numFmtId="168" formatCode="#,##0.000"/>
    <numFmt numFmtId="169" formatCode="0.000E+00"/>
    <numFmt numFmtId="170" formatCode="0"/>
    <numFmt numFmtId="171" formatCode="0.000"/>
    <numFmt numFmtId="172" formatCode="0.00%"/>
    <numFmt numFmtId="173" formatCode="#,##0"/>
    <numFmt numFmtId="174" formatCode="#,##0.00"/>
    <numFmt numFmtId="175" formatCode="#,##0.00000"/>
    <numFmt numFmtId="176" formatCode="0.0000E+00"/>
    <numFmt numFmtId="177" formatCode="0.0000"/>
    <numFmt numFmtId="178" formatCode="0.00"/>
    <numFmt numFmtId="179" formatCode="0.00E+00"/>
    <numFmt numFmtId="180" formatCode="\ * #,##0.00\ ;\ * \(#,##0.00\);\ * \-#\ ;\ @\ "/>
    <numFmt numFmtId="181" formatCode="\ * #,##0\ ;\ * \(#,##0\);\ * \-#\ ;\ @\ "/>
    <numFmt numFmtId="182" formatCode="0.000000"/>
    <numFmt numFmtId="183" formatCode="0.00000"/>
    <numFmt numFmtId="184" formatCode="0.0000000"/>
  </numFmts>
  <fonts count="2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sz val="10"/>
      <name val="FreeMono"/>
      <family val="3"/>
    </font>
    <font>
      <b val="true"/>
      <sz val="10"/>
      <name val="Arial"/>
      <family val="2"/>
    </font>
    <font>
      <b val="true"/>
      <sz val="10"/>
      <name val="FreeMono"/>
      <family val="3"/>
    </font>
    <font>
      <sz val="10"/>
      <color rgb="FF000000"/>
      <name val="Arial"/>
      <family val="2"/>
    </font>
    <font>
      <u val="single"/>
      <sz val="10"/>
      <name val="Arial"/>
      <family val="2"/>
    </font>
    <font>
      <b val="true"/>
      <sz val="10"/>
      <color rgb="FF000000"/>
      <name val="Arial"/>
      <family val="2"/>
    </font>
    <font>
      <b val="true"/>
      <sz val="12"/>
      <color rgb="FF000000"/>
      <name val="Calibri"/>
      <family val="2"/>
    </font>
    <font>
      <vertAlign val="subscript"/>
      <sz val="12"/>
      <color rgb="FF000000"/>
      <name val="Calibri (Body)"/>
      <family val="0"/>
    </font>
    <font>
      <sz val="12"/>
      <color rgb="FF000000"/>
      <name val="Calibri"/>
      <family val="2"/>
    </font>
    <font>
      <u val="single"/>
      <sz val="12"/>
      <color rgb="FF0000FF"/>
      <name val="Calibri"/>
      <family val="2"/>
    </font>
    <font>
      <b val="true"/>
      <vertAlign val="superscript"/>
      <sz val="12"/>
      <color rgb="FF000000"/>
      <name val="Calibri"/>
      <family val="2"/>
    </font>
    <font>
      <b val="true"/>
      <sz val="9"/>
      <color rgb="FF000000"/>
      <name val="Calibri"/>
      <family val="2"/>
    </font>
    <font>
      <sz val="9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F93C7"/>
      </patternFill>
    </fill>
    <fill>
      <patternFill patternType="solid">
        <fgColor rgb="FFDDDDDD"/>
        <bgColor rgb="FFD9D9D9"/>
      </patternFill>
    </fill>
    <fill>
      <patternFill patternType="solid">
        <fgColor rgb="FFFFF200"/>
        <bgColor rgb="FFFFFF00"/>
      </patternFill>
    </fill>
    <fill>
      <patternFill patternType="solid">
        <fgColor rgb="FFADC5E7"/>
        <bgColor rgb="FF87D1D1"/>
      </patternFill>
    </fill>
    <fill>
      <patternFill patternType="solid">
        <fgColor rgb="FF87D1D1"/>
        <bgColor rgb="FFADC5E7"/>
      </patternFill>
    </fill>
    <fill>
      <patternFill patternType="solid">
        <fgColor rgb="FF8F93C7"/>
        <bgColor rgb="FF5E8AC7"/>
      </patternFill>
    </fill>
    <fill>
      <patternFill patternType="solid">
        <fgColor rgb="FF5E8AC7"/>
        <bgColor rgb="FF8F93C7"/>
      </patternFill>
    </fill>
    <fill>
      <patternFill patternType="solid">
        <fgColor rgb="FF65C295"/>
        <bgColor rgb="FF89C765"/>
      </patternFill>
    </fill>
    <fill>
      <patternFill patternType="solid">
        <fgColor rgb="FF89C765"/>
        <bgColor rgb="FF65C295"/>
      </patternFill>
    </fill>
    <fill>
      <patternFill patternType="solid">
        <fgColor rgb="FFFFFF00"/>
        <bgColor rgb="FFFFF200"/>
      </patternFill>
    </fill>
    <fill>
      <patternFill patternType="solid">
        <fgColor rgb="FFD9D9D9"/>
        <bgColor rgb="FFDDDDDD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80" fontId="5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10" borderId="0" xfId="0" applyFont="true" applyBorder="false" applyAlignment="true" applyProtection="false">
      <alignment horizontal="center" vertical="center" textRotation="90" wrapText="false" indent="0" shrinkToFit="false"/>
      <protection locked="true" hidden="false"/>
    </xf>
    <xf numFmtId="164" fontId="13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13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13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13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4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13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1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5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1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7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0" fillId="1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16" fillId="8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1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19" fillId="17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82" fontId="0" fillId="1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17" borderId="8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82" fontId="14" fillId="1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2" fontId="0" fillId="17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6" borderId="1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21" fillId="17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1" fillId="17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4" fillId="1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2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2" fontId="0" fillId="17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1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6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6" borderId="2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17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83" fontId="0" fillId="17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0" fillId="17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0" fillId="17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17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17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2" fontId="0" fillId="17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0" fillId="17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2" fontId="0" fillId="17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0" fillId="17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17" borderId="2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77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0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2" fontId="0" fillId="0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2" fontId="0" fillId="0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2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21" fillId="17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21" fillId="17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21" fillId="17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3" fontId="0" fillId="17" borderId="1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0" fillId="0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0" fillId="17" borderId="2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0" borderId="1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17" borderId="2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2" fontId="0" fillId="0" borderId="1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0" fillId="17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82" fontId="0" fillId="0" borderId="2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7" fontId="0" fillId="17" borderId="1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24" xfId="0" applyFont="fals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Hyperlink" xfId="27" builtinId="53" customBuiltin="true"/>
    <cellStyle name="Status" xfId="28" builtinId="53" customBuiltin="true"/>
    <cellStyle name="Good" xfId="29" builtinId="53" customBuiltin="true"/>
    <cellStyle name="Neutral" xfId="30" builtinId="53" customBuiltin="true"/>
    <cellStyle name="Bad" xfId="31" builtinId="53" customBuiltin="true"/>
    <cellStyle name="Warning" xfId="32" builtinId="53" customBuiltin="true"/>
    <cellStyle name="Error" xfId="33" builtinId="53" customBuiltin="true"/>
    <cellStyle name="Accent" xfId="34" builtinId="53" customBuiltin="true"/>
    <cellStyle name="Accent 1" xfId="35" builtinId="53" customBuiltin="true"/>
    <cellStyle name="Accent 2" xfId="36" builtinId="53" customBuiltin="true"/>
    <cellStyle name="Accent 3" xfId="37" builtinId="53" customBuiltin="true"/>
    <cellStyle name="*unknown*" xfId="20" builtinId="8" customBuiltin="fals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87D1D1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ADC5E7"/>
      <rgbColor rgb="FFFF99CC"/>
      <rgbColor rgb="FFCC99FF"/>
      <rgbColor rgb="FFFFCCCC"/>
      <rgbColor rgb="FF3366FF"/>
      <rgbColor rgb="FF65C295"/>
      <rgbColor rgb="FF89C765"/>
      <rgbColor rgb="FFFFCC00"/>
      <rgbColor rgb="FFFF9900"/>
      <rgbColor rgb="FFFF6600"/>
      <rgbColor rgb="FF5E8AC7"/>
      <rgbColor rgb="FF8F93C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://media.digikey.com/pdf/Data%20Sheets/CNC%20Tech%20PDFs/MW35C_Spec.pdf" TargetMode="External"/><Relationship Id="rId3" Type="http://schemas.openxmlformats.org/officeDocument/2006/relationships/hyperlink" Target="https://en.wikipedia.org/wiki/Circular_mil" TargetMode="Externa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1" width="14.63"/>
    <col collapsed="false" customWidth="false" hidden="false" outlineLevel="0" max="3" min="3" style="0" width="11.52"/>
    <col collapsed="false" customWidth="true" hidden="false" outlineLevel="0" max="4" min="4" style="0" width="81.79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</row>
    <row r="2" customFormat="false" ht="12.8" hidden="false" customHeight="false" outlineLevel="0" collapsed="false">
      <c r="A2" s="2" t="s">
        <v>1</v>
      </c>
      <c r="B2" s="2"/>
      <c r="C2" s="2"/>
      <c r="D2" s="2"/>
    </row>
    <row r="3" customFormat="false" ht="12.8" hidden="false" customHeight="false" outlineLevel="0" collapsed="false">
      <c r="A3" s="3" t="s">
        <v>2</v>
      </c>
      <c r="B3" s="4" t="s">
        <v>3</v>
      </c>
      <c r="C3" s="3" t="s">
        <v>4</v>
      </c>
      <c r="D3" s="3" t="s">
        <v>5</v>
      </c>
    </row>
    <row r="4" customFormat="false" ht="12.8" hidden="false" customHeight="false" outlineLevel="0" collapsed="false">
      <c r="A4" s="5" t="s">
        <v>6</v>
      </c>
      <c r="B4" s="6" t="s">
        <v>7</v>
      </c>
      <c r="C4" s="7" t="n">
        <v>10</v>
      </c>
    </row>
    <row r="5" customFormat="false" ht="12.8" hidden="false" customHeight="false" outlineLevel="0" collapsed="false">
      <c r="A5" s="5"/>
      <c r="B5" s="6" t="s">
        <v>8</v>
      </c>
      <c r="C5" s="7" t="n">
        <v>80</v>
      </c>
    </row>
    <row r="6" customFormat="false" ht="12.8" hidden="false" customHeight="false" outlineLevel="0" collapsed="false">
      <c r="A6" s="5"/>
      <c r="B6" s="6" t="s">
        <v>9</v>
      </c>
      <c r="C6" s="7" t="n">
        <f aca="false">31.4*2</f>
        <v>62.8</v>
      </c>
      <c r="D6" s="0" t="s">
        <v>10</v>
      </c>
    </row>
    <row r="7" customFormat="false" ht="12.8" hidden="false" customHeight="false" outlineLevel="0" collapsed="false">
      <c r="A7" s="5"/>
      <c r="B7" s="6" t="s">
        <v>11</v>
      </c>
      <c r="C7" s="7" t="n">
        <f aca="false">14*4</f>
        <v>56</v>
      </c>
      <c r="D7" s="0" t="s">
        <v>12</v>
      </c>
    </row>
    <row r="8" customFormat="false" ht="12.8" hidden="false" customHeight="false" outlineLevel="0" collapsed="false">
      <c r="A8" s="5"/>
      <c r="B8" s="6" t="s">
        <v>13</v>
      </c>
      <c r="C8" s="7" t="n">
        <v>250</v>
      </c>
    </row>
    <row r="9" customFormat="false" ht="12.8" hidden="false" customHeight="false" outlineLevel="0" collapsed="false">
      <c r="A9" s="5"/>
      <c r="B9" s="6" t="s">
        <v>14</v>
      </c>
      <c r="C9" s="8" t="n">
        <f aca="false">C8/C7</f>
        <v>4.46428571428571</v>
      </c>
    </row>
    <row r="10" customFormat="false" ht="12.8" hidden="false" customHeight="false" outlineLevel="0" collapsed="false">
      <c r="A10" s="5"/>
      <c r="B10" s="6" t="s">
        <v>15</v>
      </c>
      <c r="C10" s="9" t="n">
        <v>0.93</v>
      </c>
    </row>
    <row r="11" customFormat="false" ht="12.8" hidden="false" customHeight="false" outlineLevel="0" collapsed="false">
      <c r="A11" s="5"/>
      <c r="B11" s="6" t="s">
        <v>16</v>
      </c>
      <c r="C11" s="8" t="n">
        <f aca="false">C8/C10</f>
        <v>268.817204301075</v>
      </c>
    </row>
    <row r="12" customFormat="false" ht="12.8" hidden="false" customHeight="false" outlineLevel="0" collapsed="false">
      <c r="A12" s="5"/>
      <c r="B12" s="6" t="s">
        <v>17</v>
      </c>
      <c r="C12" s="8" t="n">
        <f aca="false">C11-C8</f>
        <v>18.8172043010753</v>
      </c>
      <c r="D12" s="0" t="s">
        <v>18</v>
      </c>
    </row>
    <row r="13" customFormat="false" ht="12.8" hidden="false" customHeight="false" outlineLevel="0" collapsed="false">
      <c r="A13" s="5"/>
      <c r="B13" s="6" t="s">
        <v>19</v>
      </c>
      <c r="C13" s="8" t="n">
        <f aca="false">C11/C6</f>
        <v>4.28052873090884</v>
      </c>
      <c r="D13" s="0" t="s">
        <v>20</v>
      </c>
    </row>
    <row r="14" customFormat="false" ht="12.8" hidden="false" customHeight="false" outlineLevel="0" collapsed="false">
      <c r="A14" s="5"/>
      <c r="B14" s="6" t="s">
        <v>21</v>
      </c>
      <c r="C14" s="8" t="n">
        <f aca="false">C9+C13</f>
        <v>8.74481444519455</v>
      </c>
      <c r="D14" s="0" t="s">
        <v>22</v>
      </c>
    </row>
    <row r="15" customFormat="false" ht="12.8" hidden="false" customHeight="false" outlineLevel="0" collapsed="false">
      <c r="A15" s="5"/>
      <c r="B15" s="6" t="s">
        <v>23</v>
      </c>
      <c r="C15" s="7" t="n">
        <v>100000</v>
      </c>
      <c r="D15" s="0" t="s">
        <v>24</v>
      </c>
    </row>
    <row r="16" customFormat="false" ht="12.8" hidden="false" customHeight="false" outlineLevel="0" collapsed="false">
      <c r="A16" s="5"/>
      <c r="B16" s="6" t="s">
        <v>25</v>
      </c>
      <c r="C16" s="10" t="n">
        <f aca="false">1/C15</f>
        <v>1E-005</v>
      </c>
      <c r="D16" s="0" t="s">
        <v>26</v>
      </c>
    </row>
    <row r="17" customFormat="false" ht="12.8" hidden="false" customHeight="false" outlineLevel="0" collapsed="false">
      <c r="A17" s="5"/>
      <c r="B17" s="6" t="s">
        <v>27</v>
      </c>
      <c r="C17" s="11" t="n">
        <v>0.92</v>
      </c>
      <c r="D17" s="0" t="s">
        <v>28</v>
      </c>
    </row>
    <row r="18" customFormat="false" ht="12.8" hidden="false" customHeight="false" outlineLevel="0" collapsed="false">
      <c r="A18" s="5"/>
      <c r="B18" s="6" t="s">
        <v>29</v>
      </c>
      <c r="C18" s="12" t="n">
        <f aca="false">(C7+C17)/(C4+C7+C17)</f>
        <v>0.850567842199641</v>
      </c>
      <c r="D18" s="0" t="s">
        <v>30</v>
      </c>
    </row>
    <row r="19" customFormat="false" ht="12.8" hidden="false" customHeight="false" outlineLevel="0" collapsed="false">
      <c r="A19" s="5"/>
      <c r="B19" s="6" t="s">
        <v>31</v>
      </c>
      <c r="C19" s="12" t="n">
        <f aca="false">(C7+C17)/(C5+C7+C17)</f>
        <v>0.41571720712825</v>
      </c>
      <c r="D19" s="0" t="s">
        <v>32</v>
      </c>
    </row>
    <row r="20" customFormat="false" ht="12.8" hidden="false" customHeight="false" outlineLevel="0" collapsed="false">
      <c r="A20" s="5"/>
      <c r="B20" s="6" t="s">
        <v>33</v>
      </c>
      <c r="C20" s="12" t="n">
        <f aca="false">(C7+C17)/(C6+C7+C17)</f>
        <v>0.475442699632476</v>
      </c>
      <c r="D20" s="0" t="s">
        <v>34</v>
      </c>
    </row>
    <row r="21" customFormat="false" ht="12.8" hidden="false" customHeight="true" outlineLevel="0" collapsed="false">
      <c r="A21" s="13" t="s">
        <v>35</v>
      </c>
      <c r="B21" s="14" t="s">
        <v>36</v>
      </c>
      <c r="C21" s="9" t="n">
        <v>0.3</v>
      </c>
      <c r="D21" s="0" t="s">
        <v>37</v>
      </c>
    </row>
    <row r="22" customFormat="false" ht="12.8" hidden="false" customHeight="false" outlineLevel="0" collapsed="false">
      <c r="A22" s="13"/>
      <c r="B22" s="14" t="s">
        <v>38</v>
      </c>
      <c r="C22" s="15" t="n">
        <f aca="false">C21*C13</f>
        <v>1.28415861927265</v>
      </c>
      <c r="D22" s="0" t="s">
        <v>39</v>
      </c>
    </row>
    <row r="23" customFormat="false" ht="12.8" hidden="false" customHeight="false" outlineLevel="0" collapsed="false">
      <c r="A23" s="13"/>
      <c r="B23" s="14" t="s">
        <v>40</v>
      </c>
      <c r="C23" s="15" t="n">
        <f aca="false">C8*C21</f>
        <v>75</v>
      </c>
      <c r="D23" s="0" t="s">
        <v>41</v>
      </c>
    </row>
    <row r="24" customFormat="false" ht="12.8" hidden="false" customHeight="false" outlineLevel="0" collapsed="false">
      <c r="A24" s="13"/>
      <c r="B24" s="16" t="s">
        <v>42</v>
      </c>
      <c r="C24" s="17" t="n">
        <f aca="false">0.5*((C6*C20)/(C22*C15))</f>
        <v>0.00011625433606415</v>
      </c>
      <c r="D24" s="0" t="s">
        <v>43</v>
      </c>
    </row>
    <row r="25" customFormat="false" ht="12.8" hidden="false" customHeight="false" outlineLevel="0" collapsed="false">
      <c r="A25" s="13"/>
      <c r="B25" s="16" t="s">
        <v>44</v>
      </c>
      <c r="C25" s="17" t="n">
        <f aca="false">(C9*C24*(C16*C20))/(C54*C6)</f>
        <v>8.35991426295432E-006</v>
      </c>
      <c r="D25" s="0" t="s">
        <v>45</v>
      </c>
    </row>
    <row r="26" customFormat="false" ht="12.8" hidden="false" customHeight="false" outlineLevel="0" collapsed="false">
      <c r="A26" s="13"/>
      <c r="B26" s="14" t="s">
        <v>46</v>
      </c>
      <c r="C26" s="18" t="n">
        <f aca="false">(POWER(C6,2)*POWER(C20,2)) / (2*C15*C23*(1+C20*(1-C10)/C10))</f>
        <v>5.73791822064046E-005</v>
      </c>
      <c r="D26" s="0" t="s">
        <v>47</v>
      </c>
    </row>
    <row r="27" customFormat="false" ht="12.8" hidden="false" customHeight="false" outlineLevel="0" collapsed="false">
      <c r="A27" s="13"/>
      <c r="B27" s="14" t="s">
        <v>48</v>
      </c>
      <c r="C27" s="8" t="n">
        <f aca="false">C13+(C22/2)</f>
        <v>4.92260804054517</v>
      </c>
      <c r="D27" s="0" t="s">
        <v>49</v>
      </c>
    </row>
    <row r="28" customFormat="false" ht="12.8" hidden="false" customHeight="false" outlineLevel="0" collapsed="false">
      <c r="A28" s="13"/>
      <c r="B28" s="14" t="s">
        <v>50</v>
      </c>
      <c r="C28" s="8" t="n">
        <f aca="false">C9+C22/2</f>
        <v>5.10636502392204</v>
      </c>
      <c r="D28" s="0" t="s">
        <v>51</v>
      </c>
    </row>
    <row r="29" customFormat="false" ht="12.8" hidden="false" customHeight="false" outlineLevel="0" collapsed="false">
      <c r="A29" s="13"/>
      <c r="B29" s="14" t="s">
        <v>52</v>
      </c>
      <c r="C29" s="8" t="n">
        <f aca="false">C27+C28</f>
        <v>10.0289730644672</v>
      </c>
      <c r="D29" s="0" t="s">
        <v>53</v>
      </c>
    </row>
    <row r="30" customFormat="false" ht="12.8" hidden="false" customHeight="false" outlineLevel="0" collapsed="false">
      <c r="A30" s="13"/>
      <c r="B30" s="14" t="s">
        <v>54</v>
      </c>
      <c r="C30" s="9" t="n">
        <v>0.2</v>
      </c>
      <c r="D30" s="0" t="s">
        <v>55</v>
      </c>
    </row>
    <row r="31" customFormat="false" ht="12.8" hidden="false" customHeight="false" outlineLevel="0" collapsed="false">
      <c r="A31" s="13"/>
      <c r="B31" s="16" t="s">
        <v>56</v>
      </c>
      <c r="C31" s="19" t="n">
        <f aca="false">C29*(1+C30)</f>
        <v>12.0347676773606</v>
      </c>
      <c r="D31" s="0" t="s">
        <v>57</v>
      </c>
    </row>
    <row r="32" customFormat="false" ht="12.8" hidden="false" customHeight="true" outlineLevel="0" collapsed="false">
      <c r="A32" s="20" t="s">
        <v>58</v>
      </c>
      <c r="B32" s="21" t="s">
        <v>59</v>
      </c>
      <c r="C32" s="22" t="n">
        <v>25</v>
      </c>
      <c r="D32" s="0" t="s">
        <v>60</v>
      </c>
    </row>
    <row r="33" customFormat="false" ht="12.8" hidden="false" customHeight="false" outlineLevel="0" collapsed="false">
      <c r="A33" s="20"/>
      <c r="B33" s="21" t="s">
        <v>61</v>
      </c>
      <c r="C33" s="22" t="n">
        <v>3</v>
      </c>
      <c r="D33" s="0" t="s">
        <v>62</v>
      </c>
    </row>
    <row r="34" customFormat="false" ht="12.8" hidden="false" customHeight="false" outlineLevel="0" collapsed="false">
      <c r="A34" s="20"/>
      <c r="B34" s="21" t="s">
        <v>63</v>
      </c>
      <c r="C34" s="22" t="n">
        <v>24</v>
      </c>
      <c r="D34" s="0" t="s">
        <v>64</v>
      </c>
    </row>
    <row r="35" customFormat="false" ht="12.8" hidden="false" customHeight="false" outlineLevel="0" collapsed="false">
      <c r="A35" s="20"/>
      <c r="B35" s="21" t="s">
        <v>65</v>
      </c>
      <c r="C35" s="23" t="n">
        <f aca="false">VLOOKUP(C34,wireawg!$A$5:$L$44,3,0)/10</f>
        <v>0.0511</v>
      </c>
      <c r="D35" s="0" t="s">
        <v>66</v>
      </c>
    </row>
    <row r="36" customFormat="false" ht="12.8" hidden="false" customHeight="false" outlineLevel="0" collapsed="false">
      <c r="A36" s="20"/>
      <c r="B36" s="21" t="s">
        <v>67</v>
      </c>
      <c r="C36" s="24" t="n">
        <f aca="false">71.5/10</f>
        <v>7.15</v>
      </c>
      <c r="D36" s="0" t="s">
        <v>68</v>
      </c>
    </row>
    <row r="37" customFormat="false" ht="12.8" hidden="false" customHeight="false" outlineLevel="0" collapsed="false">
      <c r="A37" s="20"/>
      <c r="B37" s="21" t="s">
        <v>69</v>
      </c>
      <c r="C37" s="25" t="n">
        <v>1.6E-007</v>
      </c>
      <c r="D37" s="0" t="s">
        <v>70</v>
      </c>
    </row>
    <row r="38" customFormat="false" ht="12.8" hidden="false" customHeight="false" outlineLevel="0" collapsed="false">
      <c r="A38" s="20"/>
      <c r="B38" s="21" t="s">
        <v>71</v>
      </c>
      <c r="C38" s="24" t="n">
        <f aca="false">18.4/10</f>
        <v>1.84</v>
      </c>
      <c r="D38" s="0" t="s">
        <v>72</v>
      </c>
    </row>
    <row r="39" customFormat="false" ht="12.8" hidden="false" customHeight="false" outlineLevel="0" collapsed="false">
      <c r="A39" s="20"/>
      <c r="B39" s="21" t="s">
        <v>73</v>
      </c>
      <c r="C39" s="26" t="n">
        <f aca="false">ROUNDDOWN(C38/(C35*C33),0)</f>
        <v>12</v>
      </c>
      <c r="D39" s="0" t="s">
        <v>74</v>
      </c>
    </row>
    <row r="40" customFormat="false" ht="12.8" hidden="false" customHeight="false" outlineLevel="0" collapsed="false">
      <c r="A40" s="20"/>
      <c r="B40" s="21" t="s">
        <v>75</v>
      </c>
      <c r="C40" s="26" t="n">
        <f aca="false">ROUNDUP(C32/C39,0)</f>
        <v>3</v>
      </c>
      <c r="D40" s="0" t="s">
        <v>76</v>
      </c>
    </row>
    <row r="41" customFormat="false" ht="12.8" hidden="false" customHeight="false" outlineLevel="0" collapsed="false">
      <c r="A41" s="20"/>
      <c r="B41" s="21" t="s">
        <v>77</v>
      </c>
      <c r="C41" s="27" t="n">
        <f aca="false">C35*C40</f>
        <v>0.1533</v>
      </c>
      <c r="D41" s="0" t="s">
        <v>78</v>
      </c>
    </row>
    <row r="42" customFormat="false" ht="12.8" hidden="false" customHeight="false" outlineLevel="0" collapsed="false">
      <c r="A42" s="20"/>
      <c r="B42" s="21" t="s">
        <v>79</v>
      </c>
      <c r="C42" s="24" t="n">
        <f aca="false">0.08/10</f>
        <v>0.008</v>
      </c>
      <c r="D42" s="0" t="s">
        <v>80</v>
      </c>
    </row>
    <row r="43" customFormat="false" ht="12.8" hidden="false" customHeight="false" outlineLevel="0" collapsed="false">
      <c r="A43" s="20"/>
      <c r="B43" s="21" t="s">
        <v>81</v>
      </c>
      <c r="C43" s="22" t="n">
        <v>20</v>
      </c>
      <c r="D43" s="0" t="s">
        <v>82</v>
      </c>
    </row>
    <row r="44" customFormat="false" ht="12.8" hidden="false" customHeight="false" outlineLevel="0" collapsed="false">
      <c r="A44" s="20"/>
      <c r="B44" s="21" t="s">
        <v>83</v>
      </c>
      <c r="C44" s="27" t="n">
        <f aca="false">C42*C43</f>
        <v>0.16</v>
      </c>
      <c r="D44" s="0" t="s">
        <v>84</v>
      </c>
    </row>
    <row r="45" customFormat="false" ht="12.8" hidden="false" customHeight="false" outlineLevel="0" collapsed="false">
      <c r="A45" s="20"/>
      <c r="B45" s="28" t="s">
        <v>85</v>
      </c>
      <c r="C45" s="17" t="n">
        <f aca="false">((4*PI()*C36*POWER(C32,2))/C38)*(C44+(C41*2)/3)*POWER(10,-9)</f>
        <v>8.00222553731575E-006</v>
      </c>
      <c r="D45" s="0" t="s">
        <v>86</v>
      </c>
    </row>
    <row r="46" customFormat="false" ht="12.8" hidden="false" customHeight="false" outlineLevel="0" collapsed="false">
      <c r="A46" s="20"/>
      <c r="B46" s="28" t="s">
        <v>87</v>
      </c>
      <c r="C46" s="29" t="n">
        <f aca="false">C45/C24</f>
        <v>0.0688337812440825</v>
      </c>
      <c r="D46" s="0" t="s">
        <v>88</v>
      </c>
    </row>
    <row r="47" customFormat="false" ht="12.8" hidden="false" customHeight="false" outlineLevel="0" collapsed="false">
      <c r="A47" s="20"/>
      <c r="B47" s="28" t="s">
        <v>89</v>
      </c>
      <c r="C47" s="27" t="n">
        <f aca="false">C41*2+C44</f>
        <v>0.4666</v>
      </c>
      <c r="D47" s="0" t="s">
        <v>90</v>
      </c>
    </row>
    <row r="48" customFormat="false" ht="12.8" hidden="false" customHeight="false" outlineLevel="0" collapsed="false">
      <c r="A48" s="20"/>
      <c r="B48" s="21" t="s">
        <v>91</v>
      </c>
      <c r="C48" s="27" t="n">
        <f aca="false">2*PI()*C15*C45</f>
        <v>5.02794659207996</v>
      </c>
      <c r="D48" s="0" t="s">
        <v>92</v>
      </c>
    </row>
    <row r="49" customFormat="false" ht="12.8" hidden="false" customHeight="false" outlineLevel="0" collapsed="false">
      <c r="A49" s="20"/>
      <c r="B49" s="21" t="s">
        <v>93</v>
      </c>
      <c r="C49" s="30" t="n">
        <f aca="false">C56/C48</f>
        <v>1.07061985934009</v>
      </c>
      <c r="D49" s="0" t="s">
        <v>94</v>
      </c>
    </row>
    <row r="50" customFormat="false" ht="12.8" hidden="false" customHeight="true" outlineLevel="0" collapsed="false">
      <c r="A50" s="31" t="s">
        <v>95</v>
      </c>
      <c r="B50" s="32" t="s">
        <v>96</v>
      </c>
      <c r="C50" s="9" t="n">
        <v>0.2</v>
      </c>
      <c r="D50" s="0" t="s">
        <v>97</v>
      </c>
    </row>
    <row r="51" customFormat="false" ht="12.8" hidden="false" customHeight="false" outlineLevel="0" collapsed="false">
      <c r="A51" s="31"/>
      <c r="B51" s="32" t="s">
        <v>98</v>
      </c>
      <c r="C51" s="33" t="n">
        <f aca="false">C27*(1+C50)</f>
        <v>5.9071296486542</v>
      </c>
      <c r="D51" s="0" t="s">
        <v>99</v>
      </c>
    </row>
    <row r="52" customFormat="false" ht="12.8" hidden="false" customHeight="false" outlineLevel="0" collapsed="false">
      <c r="A52" s="31"/>
      <c r="B52" s="32" t="s">
        <v>100</v>
      </c>
      <c r="C52" s="34" t="n">
        <v>2</v>
      </c>
      <c r="D52" s="0" t="s">
        <v>101</v>
      </c>
    </row>
    <row r="53" customFormat="false" ht="12.8" hidden="false" customHeight="false" outlineLevel="0" collapsed="false">
      <c r="A53" s="31"/>
      <c r="B53" s="35" t="s">
        <v>102</v>
      </c>
      <c r="C53" s="17" t="n">
        <f aca="false">(C51*(C16-(C16*C18)))/(2*(C4-C52))</f>
        <v>5.51696956128045E-007</v>
      </c>
      <c r="D53" s="0" t="s">
        <v>103</v>
      </c>
      <c r="E53" s="36"/>
    </row>
    <row r="54" customFormat="false" ht="12.8" hidden="false" customHeight="false" outlineLevel="0" collapsed="false">
      <c r="A54" s="31"/>
      <c r="B54" s="32" t="s">
        <v>104</v>
      </c>
      <c r="C54" s="37" t="n">
        <v>4.7E-006</v>
      </c>
      <c r="D54" s="0" t="s">
        <v>105</v>
      </c>
    </row>
    <row r="55" customFormat="false" ht="12.8" hidden="false" customHeight="false" outlineLevel="0" collapsed="false">
      <c r="A55" s="31"/>
      <c r="B55" s="32" t="s">
        <v>106</v>
      </c>
      <c r="C55" s="38" t="n">
        <f aca="false">(C51*(C16-(C16*C20)))/C54</f>
        <v>6.59282549238087</v>
      </c>
      <c r="D55" s="0" t="s">
        <v>107</v>
      </c>
    </row>
    <row r="56" customFormat="false" ht="12.8" hidden="false" customHeight="false" outlineLevel="0" collapsed="false">
      <c r="A56" s="31"/>
      <c r="B56" s="32" t="s">
        <v>108</v>
      </c>
      <c r="C56" s="38" t="n">
        <f aca="false">(SQRT(2)/SQRT(3))*C55</f>
        <v>5.38301947318213</v>
      </c>
      <c r="D56" s="0" t="s">
        <v>109</v>
      </c>
    </row>
    <row r="57" customFormat="false" ht="12.8" hidden="false" customHeight="false" outlineLevel="0" collapsed="false">
      <c r="A57" s="31"/>
      <c r="B57" s="32" t="s">
        <v>110</v>
      </c>
      <c r="C57" s="33" t="n">
        <f aca="false">(C55/2)+C5</f>
        <v>83.2964127461904</v>
      </c>
      <c r="D57" s="0" t="s">
        <v>111</v>
      </c>
    </row>
    <row r="58" customFormat="false" ht="12.8" hidden="false" customHeight="false" outlineLevel="0" collapsed="false">
      <c r="A58" s="31"/>
      <c r="B58" s="32" t="s">
        <v>112</v>
      </c>
      <c r="C58" s="33" t="n">
        <f aca="false">(C51*(C16-(C16*C18)))/C54</f>
        <v>1.87811729745718</v>
      </c>
      <c r="D58" s="0" t="s">
        <v>113</v>
      </c>
    </row>
    <row r="59" customFormat="false" ht="12.8" hidden="false" customHeight="false" outlineLevel="0" collapsed="false">
      <c r="A59" s="31"/>
      <c r="B59" s="32" t="s">
        <v>114</v>
      </c>
      <c r="C59" s="33" t="n">
        <f aca="false">C13*SQRT((1-C20)/C20)</f>
        <v>4.49619142018582</v>
      </c>
      <c r="D59" s="0" t="s">
        <v>115</v>
      </c>
    </row>
    <row r="60" customFormat="false" ht="12.8" hidden="false" customHeight="false" outlineLevel="0" collapsed="false">
      <c r="A60" s="31"/>
      <c r="B60" s="32" t="s">
        <v>116</v>
      </c>
      <c r="C60" s="39" t="n">
        <f aca="false">1/(2*PI()*SQRT(C54*C45))</f>
        <v>25951.6998072643</v>
      </c>
      <c r="D60" s="0" t="s">
        <v>117</v>
      </c>
    </row>
    <row r="61" customFormat="false" ht="12.8" hidden="false" customHeight="true" outlineLevel="0" collapsed="false">
      <c r="A61" s="40" t="s">
        <v>118</v>
      </c>
      <c r="B61" s="41" t="s">
        <v>119</v>
      </c>
      <c r="C61" s="42" t="n">
        <v>152</v>
      </c>
      <c r="D61" s="0" t="s">
        <v>120</v>
      </c>
    </row>
    <row r="62" customFormat="false" ht="12.8" hidden="false" customHeight="false" outlineLevel="0" collapsed="false">
      <c r="A62" s="40"/>
      <c r="B62" s="41" t="s">
        <v>121</v>
      </c>
      <c r="C62" s="11" t="n">
        <v>0.3</v>
      </c>
      <c r="D62" s="0" t="s">
        <v>122</v>
      </c>
    </row>
    <row r="63" customFormat="false" ht="12.8" hidden="false" customHeight="false" outlineLevel="0" collapsed="false">
      <c r="A63" s="40"/>
      <c r="B63" s="41" t="s">
        <v>123</v>
      </c>
      <c r="C63" s="7" t="n">
        <v>10</v>
      </c>
      <c r="D63" s="0" t="s">
        <v>124</v>
      </c>
    </row>
    <row r="64" customFormat="false" ht="12.8" hidden="false" customHeight="false" outlineLevel="0" collapsed="false">
      <c r="A64" s="40"/>
      <c r="B64" s="41" t="s">
        <v>125</v>
      </c>
      <c r="C64" s="43" t="n">
        <f aca="false">VLOOKUP(C63,wireawg!$A$5:$L$44,3,0)/10</f>
        <v>0.2588</v>
      </c>
      <c r="D64" s="0" t="s">
        <v>126</v>
      </c>
    </row>
    <row r="65" customFormat="false" ht="12.8" hidden="false" customHeight="false" outlineLevel="0" collapsed="false">
      <c r="A65" s="40"/>
      <c r="B65" s="41" t="s">
        <v>127</v>
      </c>
      <c r="C65" s="44" t="n">
        <f aca="false">(4*C61*LN((2*C62)/C64))*POWER(10,-9)</f>
        <v>5.11251448294356E-007</v>
      </c>
      <c r="D65" s="0" t="s">
        <v>128</v>
      </c>
    </row>
    <row r="66" customFormat="false" ht="12.8" hidden="false" customHeight="false" outlineLevel="0" collapsed="false">
      <c r="A66" s="40"/>
      <c r="B66" s="41" t="s">
        <v>129</v>
      </c>
      <c r="C66" s="45" t="n">
        <v>0.1</v>
      </c>
      <c r="D66" s="0" t="s">
        <v>130</v>
      </c>
    </row>
    <row r="67" customFormat="false" ht="12.8" hidden="false" customHeight="false" outlineLevel="0" collapsed="false">
      <c r="A67" s="40"/>
      <c r="B67" s="41" t="s">
        <v>131</v>
      </c>
      <c r="C67" s="46" t="n">
        <v>0.5</v>
      </c>
      <c r="D67" s="0" t="s">
        <v>132</v>
      </c>
    </row>
    <row r="68" customFormat="false" ht="12.8" hidden="false" customHeight="false" outlineLevel="0" collapsed="false">
      <c r="A68" s="40"/>
      <c r="B68" s="41" t="s">
        <v>133</v>
      </c>
      <c r="C68" s="23" t="n">
        <f aca="false">C66*C67</f>
        <v>0.05</v>
      </c>
      <c r="D68" s="0" t="s">
        <v>134</v>
      </c>
    </row>
    <row r="69" customFormat="false" ht="12.8" hidden="false" customHeight="false" outlineLevel="0" collapsed="false">
      <c r="A69" s="40"/>
      <c r="B69" s="41" t="s">
        <v>135</v>
      </c>
      <c r="C69" s="23" t="n">
        <f aca="false">C68/C22</f>
        <v>0.038936</v>
      </c>
      <c r="D69" s="0" t="s">
        <v>136</v>
      </c>
    </row>
    <row r="70" customFormat="false" ht="12.8" hidden="false" customHeight="false" outlineLevel="0" collapsed="false">
      <c r="A70" s="40"/>
      <c r="B70" s="41" t="s">
        <v>137</v>
      </c>
      <c r="C70" s="47" t="n">
        <f aca="false">C69/(2*PI()*C65)</f>
        <v>12120.9570846206</v>
      </c>
      <c r="D70" s="0" t="s">
        <v>138</v>
      </c>
    </row>
    <row r="71" customFormat="false" ht="12.8" hidden="false" customHeight="false" outlineLevel="0" collapsed="false">
      <c r="A71" s="40"/>
      <c r="B71" s="48" t="s">
        <v>139</v>
      </c>
      <c r="C71" s="49" t="n">
        <f aca="false">1/(2*PI()*C70*C69)</f>
        <v>0.000337234412339646</v>
      </c>
      <c r="D71" s="0" t="s">
        <v>140</v>
      </c>
    </row>
    <row r="72" customFormat="false" ht="12.8" hidden="false" customHeight="false" outlineLevel="0" collapsed="false">
      <c r="A72" s="40"/>
      <c r="B72" s="48" t="s">
        <v>141</v>
      </c>
      <c r="C72" s="50" t="n">
        <f aca="false">C22/SQRT(3)</f>
        <v>0.741409324519244</v>
      </c>
      <c r="D72" s="0" t="s">
        <v>142</v>
      </c>
    </row>
    <row r="73" customFormat="false" ht="12.8" hidden="false" customHeight="true" outlineLevel="0" collapsed="false">
      <c r="A73" s="51" t="s">
        <v>143</v>
      </c>
      <c r="B73" s="52" t="s">
        <v>144</v>
      </c>
      <c r="C73" s="11" t="n">
        <v>0.1</v>
      </c>
      <c r="D73" s="0" t="s">
        <v>145</v>
      </c>
    </row>
    <row r="74" customFormat="false" ht="12.8" hidden="false" customHeight="false" outlineLevel="0" collapsed="false">
      <c r="A74" s="51"/>
      <c r="B74" s="53" t="s">
        <v>146</v>
      </c>
      <c r="C74" s="17" t="n">
        <f aca="false">(C9*C16*C20)/C73</f>
        <v>0.00021225120519307</v>
      </c>
      <c r="D74" s="0" t="s">
        <v>147</v>
      </c>
    </row>
    <row r="75" customFormat="false" ht="12.8" hidden="false" customHeight="false" outlineLevel="0" collapsed="false">
      <c r="A75" s="51"/>
      <c r="B75" s="52" t="s">
        <v>148</v>
      </c>
      <c r="C75" s="25" t="n">
        <v>0.00022</v>
      </c>
      <c r="D75" s="0" t="s">
        <v>149</v>
      </c>
    </row>
    <row r="76" customFormat="false" ht="12.8" hidden="false" customHeight="false" outlineLevel="0" collapsed="false">
      <c r="A76" s="51"/>
      <c r="B76" s="52" t="s">
        <v>150</v>
      </c>
      <c r="C76" s="11" t="n">
        <v>0.02</v>
      </c>
      <c r="D76" s="0" t="s">
        <v>151</v>
      </c>
    </row>
    <row r="77" customFormat="false" ht="12.8" hidden="false" customHeight="false" outlineLevel="0" collapsed="false">
      <c r="A77" s="51"/>
      <c r="B77" s="53" t="s">
        <v>152</v>
      </c>
      <c r="C77" s="50" t="n">
        <f aca="false">((C9*C16*C20)/C75)+(C76*(C27+C28))</f>
        <v>0.297057281831648</v>
      </c>
      <c r="D77" s="0" t="s">
        <v>153</v>
      </c>
    </row>
    <row r="78" customFormat="false" ht="12.8" hidden="false" customHeight="false" outlineLevel="0" collapsed="false">
      <c r="A78" s="51"/>
      <c r="B78" s="53" t="s">
        <v>154</v>
      </c>
      <c r="C78" s="19" t="n">
        <f aca="false">C9*SQRT(C20/(1-C20))</f>
        <v>4.25015340254266</v>
      </c>
      <c r="D78" s="0" t="s">
        <v>155</v>
      </c>
    </row>
  </sheetData>
  <mergeCells count="8">
    <mergeCell ref="A1:D1"/>
    <mergeCell ref="A2:D2"/>
    <mergeCell ref="A4:A20"/>
    <mergeCell ref="A21:A31"/>
    <mergeCell ref="A32:A49"/>
    <mergeCell ref="A50:A60"/>
    <mergeCell ref="A61:A72"/>
    <mergeCell ref="A73:A78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I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11"/>
    <col collapsed="false" customWidth="true" hidden="false" outlineLevel="0" max="2" min="2" style="0" width="39.72"/>
    <col collapsed="false" customWidth="true" hidden="false" outlineLevel="0" max="3" min="3" style="0" width="17.21"/>
    <col collapsed="false" customWidth="true" hidden="false" outlineLevel="0" max="5" min="4" style="0" width="14.45"/>
    <col collapsed="false" customWidth="true" hidden="false" outlineLevel="0" max="6" min="6" style="0" width="35.82"/>
    <col collapsed="false" customWidth="true" hidden="false" outlineLevel="0" max="8" min="7" style="0" width="14.45"/>
    <col collapsed="false" customWidth="true" hidden="false" outlineLevel="0" max="9" min="9" style="54" width="91.15"/>
    <col collapsed="false" customWidth="true" hidden="false" outlineLevel="0" max="10" min="10" style="0" width="7.34"/>
    <col collapsed="false" customWidth="true" hidden="false" outlineLevel="0" max="11" min="11" style="0" width="5.28"/>
    <col collapsed="false" customWidth="true" hidden="false" outlineLevel="0" max="1019" min="12" style="0" width="14.45"/>
    <col collapsed="false" customWidth="false" hidden="false" outlineLevel="0" max="1025" min="1020" style="0" width="11.52"/>
  </cols>
  <sheetData>
    <row r="3" customFormat="false" ht="15" hidden="false" customHeight="false" outlineLevel="0" collapsed="false">
      <c r="B3" s="55" t="s">
        <v>156</v>
      </c>
      <c r="C3" s="55"/>
      <c r="D3" s="55"/>
      <c r="E3" s="55"/>
      <c r="F3" s="55"/>
      <c r="G3" s="55"/>
      <c r="H3" s="55"/>
      <c r="I3" s="55"/>
    </row>
    <row r="4" customFormat="false" ht="15" hidden="false" customHeight="false" outlineLevel="0" collapsed="false">
      <c r="B4" s="56" t="s">
        <v>157</v>
      </c>
      <c r="C4" s="56"/>
      <c r="D4" s="56"/>
      <c r="E4" s="57"/>
      <c r="F4" s="58" t="s">
        <v>158</v>
      </c>
      <c r="G4" s="58"/>
      <c r="H4" s="58"/>
      <c r="I4" s="58"/>
    </row>
    <row r="5" customFormat="false" ht="15" hidden="false" customHeight="false" outlineLevel="0" collapsed="false">
      <c r="B5" s="59" t="s">
        <v>159</v>
      </c>
      <c r="C5" s="60" t="s">
        <v>160</v>
      </c>
      <c r="D5" s="61"/>
      <c r="E5" s="57"/>
      <c r="F5" s="62"/>
      <c r="G5" s="63" t="s">
        <v>161</v>
      </c>
      <c r="H5" s="63" t="s">
        <v>162</v>
      </c>
      <c r="I5" s="64" t="s">
        <v>5</v>
      </c>
    </row>
    <row r="6" customFormat="false" ht="12.8" hidden="false" customHeight="false" outlineLevel="0" collapsed="false">
      <c r="B6" s="59" t="s">
        <v>163</v>
      </c>
      <c r="C6" s="65" t="n">
        <v>0.031</v>
      </c>
      <c r="D6" s="61"/>
      <c r="E6" s="57"/>
      <c r="F6" s="66" t="s">
        <v>164</v>
      </c>
      <c r="G6" s="67" t="n">
        <v>0.6</v>
      </c>
      <c r="H6" s="67" t="n">
        <v>0.6</v>
      </c>
      <c r="I6" s="68"/>
    </row>
    <row r="7" customFormat="false" ht="12.8" hidden="false" customHeight="false" outlineLevel="0" collapsed="false">
      <c r="B7" s="59" t="s">
        <v>165</v>
      </c>
      <c r="C7" s="69" t="n">
        <f aca="false">0.000000015</f>
        <v>1.5E-008</v>
      </c>
      <c r="D7" s="61"/>
      <c r="E7" s="57"/>
      <c r="F7" s="66"/>
      <c r="G7" s="67"/>
      <c r="H7" s="67"/>
      <c r="I7" s="68"/>
    </row>
    <row r="8" customFormat="false" ht="22.7" hidden="false" customHeight="false" outlineLevel="0" collapsed="false">
      <c r="B8" s="59" t="s">
        <v>166</v>
      </c>
      <c r="C8" s="69" t="n">
        <f aca="false">0.00000003</f>
        <v>3E-008</v>
      </c>
      <c r="D8" s="61"/>
      <c r="E8" s="57"/>
      <c r="F8" s="66" t="s">
        <v>167</v>
      </c>
      <c r="G8" s="67" t="n">
        <f aca="false">15.467</f>
        <v>15.467</v>
      </c>
      <c r="H8" s="67" t="n">
        <f aca="false">5.25</f>
        <v>5.25</v>
      </c>
      <c r="I8" s="68" t="s">
        <v>168</v>
      </c>
    </row>
    <row r="9" customFormat="false" ht="12.8" hidden="false" customHeight="false" outlineLevel="0" collapsed="false">
      <c r="B9" s="59" t="s">
        <v>169</v>
      </c>
      <c r="C9" s="70" t="n">
        <f aca="false">design!C6</f>
        <v>62.8</v>
      </c>
      <c r="D9" s="61"/>
      <c r="E9" s="57"/>
      <c r="F9" s="66" t="s">
        <v>170</v>
      </c>
      <c r="G9" s="71" t="n">
        <f aca="false">SUM(G6:G8)</f>
        <v>16.067</v>
      </c>
      <c r="H9" s="71" t="n">
        <f aca="false">SUM(H6:H8)</f>
        <v>5.85</v>
      </c>
      <c r="I9" s="68"/>
    </row>
    <row r="10" customFormat="false" ht="18.65" hidden="false" customHeight="false" outlineLevel="0" collapsed="false">
      <c r="B10" s="72" t="s">
        <v>171</v>
      </c>
      <c r="C10" s="73" t="n">
        <f aca="false">design!C29</f>
        <v>10.0289730644672</v>
      </c>
      <c r="D10" s="61"/>
      <c r="E10" s="57"/>
      <c r="F10" s="66" t="s">
        <v>172</v>
      </c>
      <c r="G10" s="57" t="n">
        <f aca="false">G9*C18</f>
        <v>46.5865742626356</v>
      </c>
      <c r="H10" s="57" t="n">
        <f aca="false">H9*C18</f>
        <v>16.9621870564772</v>
      </c>
      <c r="I10" s="68"/>
    </row>
    <row r="11" customFormat="false" ht="17" hidden="false" customHeight="false" outlineLevel="0" collapsed="false">
      <c r="B11" s="59" t="s">
        <v>24</v>
      </c>
      <c r="C11" s="74" t="n">
        <f aca="false">design!C15</f>
        <v>100000</v>
      </c>
      <c r="D11" s="61"/>
      <c r="E11" s="57"/>
      <c r="F11" s="66" t="s">
        <v>173</v>
      </c>
      <c r="G11" s="71" t="n">
        <v>50</v>
      </c>
      <c r="H11" s="71" t="n">
        <v>50</v>
      </c>
      <c r="I11" s="68"/>
    </row>
    <row r="12" customFormat="false" ht="18.65" hidden="false" customHeight="false" outlineLevel="0" collapsed="false">
      <c r="B12" s="59" t="s">
        <v>174</v>
      </c>
      <c r="C12" s="75" t="n">
        <f aca="false">1/C11</f>
        <v>1E-005</v>
      </c>
      <c r="D12" s="61"/>
      <c r="E12" s="57"/>
      <c r="F12" s="76" t="s">
        <v>175</v>
      </c>
      <c r="G12" s="77" t="n">
        <f aca="false">G10+G11</f>
        <v>96.5865742626356</v>
      </c>
      <c r="H12" s="77" t="n">
        <f aca="false">H10+H11</f>
        <v>66.9621870564771</v>
      </c>
      <c r="I12" s="78"/>
    </row>
    <row r="13" customFormat="false" ht="12.8" hidden="false" customHeight="false" outlineLevel="0" collapsed="false">
      <c r="B13" s="59" t="s">
        <v>176</v>
      </c>
      <c r="C13" s="79" t="n">
        <f aca="false">design!C20</f>
        <v>0.475442699632476</v>
      </c>
      <c r="D13" s="61"/>
      <c r="E13" s="57"/>
      <c r="F13" s="57"/>
      <c r="G13" s="57"/>
      <c r="H13" s="57"/>
      <c r="I13" s="80"/>
    </row>
    <row r="14" customFormat="false" ht="18.65" hidden="false" customHeight="false" outlineLevel="0" collapsed="false">
      <c r="B14" s="59" t="s">
        <v>177</v>
      </c>
      <c r="C14" s="81" t="n">
        <f aca="false">((C9*C10)*(C7/C12))/2</f>
        <v>0.472364631336405</v>
      </c>
      <c r="D14" s="61"/>
      <c r="E14" s="57"/>
      <c r="F14" s="82"/>
      <c r="G14" s="82"/>
      <c r="H14" s="82"/>
      <c r="I14" s="83"/>
    </row>
    <row r="15" customFormat="false" ht="18.65" hidden="false" customHeight="false" outlineLevel="0" collapsed="false">
      <c r="B15" s="59" t="s">
        <v>178</v>
      </c>
      <c r="C15" s="81" t="n">
        <f aca="false">((C9*C10)*(C8/C12))/2</f>
        <v>0.94472926267281</v>
      </c>
      <c r="D15" s="61"/>
      <c r="E15" s="57"/>
      <c r="F15" s="82"/>
      <c r="G15" s="82"/>
      <c r="H15" s="82"/>
      <c r="I15" s="83"/>
    </row>
    <row r="16" customFormat="false" ht="18.65" hidden="false" customHeight="false" outlineLevel="0" collapsed="false">
      <c r="B16" s="59" t="s">
        <v>179</v>
      </c>
      <c r="C16" s="81" t="n">
        <f aca="false">(POWER(C10,2)*C6)*C13</f>
        <v>1.48242526094414</v>
      </c>
      <c r="D16" s="61"/>
      <c r="E16" s="57"/>
      <c r="F16" s="82"/>
      <c r="G16" s="82"/>
      <c r="H16" s="82"/>
      <c r="I16" s="83"/>
    </row>
    <row r="17" customFormat="false" ht="12.8" hidden="false" customHeight="false" outlineLevel="0" collapsed="false">
      <c r="B17" s="59"/>
      <c r="C17" s="57"/>
      <c r="D17" s="61"/>
      <c r="E17" s="57"/>
      <c r="F17" s="82"/>
      <c r="G17" s="82"/>
      <c r="H17" s="82"/>
      <c r="I17" s="83"/>
    </row>
    <row r="18" customFormat="false" ht="12.8" hidden="false" customHeight="false" outlineLevel="0" collapsed="false">
      <c r="B18" s="59" t="s">
        <v>180</v>
      </c>
      <c r="C18" s="84" t="n">
        <f aca="false">(C14+C15+C16)</f>
        <v>2.89951915495336</v>
      </c>
      <c r="D18" s="85"/>
      <c r="E18" s="57"/>
      <c r="F18" s="82"/>
      <c r="G18" s="82"/>
      <c r="H18" s="82"/>
      <c r="I18" s="83"/>
    </row>
    <row r="21" customFormat="false" ht="15" hidden="false" customHeight="false" outlineLevel="0" collapsed="false">
      <c r="B21" s="55" t="s">
        <v>181</v>
      </c>
      <c r="C21" s="55"/>
      <c r="D21" s="55"/>
      <c r="E21" s="55"/>
      <c r="F21" s="55"/>
      <c r="G21" s="55"/>
      <c r="H21" s="55"/>
      <c r="I21" s="55"/>
    </row>
    <row r="22" customFormat="false" ht="15" hidden="false" customHeight="false" outlineLevel="0" collapsed="false">
      <c r="B22" s="56" t="s">
        <v>157</v>
      </c>
      <c r="C22" s="56"/>
      <c r="D22" s="56"/>
      <c r="E22" s="86"/>
      <c r="F22" s="87" t="s">
        <v>158</v>
      </c>
      <c r="G22" s="87"/>
      <c r="H22" s="87"/>
      <c r="I22" s="88"/>
    </row>
    <row r="23" customFormat="false" ht="15.65" hidden="false" customHeight="false" outlineLevel="0" collapsed="false">
      <c r="B23" s="59" t="s">
        <v>181</v>
      </c>
      <c r="C23" s="60" t="s">
        <v>182</v>
      </c>
      <c r="D23" s="61"/>
      <c r="E23" s="86"/>
      <c r="F23" s="62"/>
      <c r="G23" s="63" t="s">
        <v>161</v>
      </c>
      <c r="H23" s="63" t="s">
        <v>162</v>
      </c>
      <c r="I23" s="64" t="s">
        <v>5</v>
      </c>
    </row>
    <row r="24" customFormat="false" ht="12.8" hidden="false" customHeight="false" outlineLevel="0" collapsed="false">
      <c r="B24" s="59" t="s">
        <v>183</v>
      </c>
      <c r="C24" s="65" t="n">
        <f aca="false">0.76</f>
        <v>0.76</v>
      </c>
      <c r="D24" s="61"/>
      <c r="E24" s="57"/>
      <c r="F24" s="66" t="s">
        <v>164</v>
      </c>
      <c r="G24" s="67" t="n">
        <v>2</v>
      </c>
      <c r="H24" s="67" t="n">
        <v>2</v>
      </c>
      <c r="I24" s="68"/>
    </row>
    <row r="25" customFormat="false" ht="12.8" hidden="false" customHeight="false" outlineLevel="0" collapsed="false">
      <c r="B25" s="59" t="s">
        <v>184</v>
      </c>
      <c r="C25" s="69" t="n">
        <v>0</v>
      </c>
      <c r="D25" s="61"/>
      <c r="E25" s="57"/>
      <c r="F25" s="66"/>
      <c r="G25" s="67"/>
      <c r="H25" s="67"/>
      <c r="I25" s="68"/>
    </row>
    <row r="26" customFormat="false" ht="23.85" hidden="false" customHeight="false" outlineLevel="0" collapsed="false">
      <c r="B26" s="72" t="s">
        <v>171</v>
      </c>
      <c r="C26" s="73" t="n">
        <f aca="false">design!C29</f>
        <v>10.0289730644672</v>
      </c>
      <c r="D26" s="61"/>
      <c r="E26" s="57"/>
      <c r="F26" s="66" t="s">
        <v>167</v>
      </c>
      <c r="G26" s="67" t="n">
        <f aca="false">15.467</f>
        <v>15.467</v>
      </c>
      <c r="H26" s="67" t="n">
        <f aca="false">5.25</f>
        <v>5.25</v>
      </c>
      <c r="I26" s="68" t="s">
        <v>168</v>
      </c>
    </row>
    <row r="27" customFormat="false" ht="12.8" hidden="false" customHeight="false" outlineLevel="0" collapsed="false">
      <c r="B27" s="59" t="s">
        <v>185</v>
      </c>
      <c r="C27" s="89" t="n">
        <f aca="false">design!C5+design!C7</f>
        <v>136</v>
      </c>
      <c r="D27" s="61"/>
      <c r="E27" s="57"/>
      <c r="F27" s="66" t="s">
        <v>170</v>
      </c>
      <c r="G27" s="71" t="n">
        <f aca="false">SUM(G24:G26)</f>
        <v>17.467</v>
      </c>
      <c r="H27" s="71" t="n">
        <f aca="false">SUM(H24:H26)</f>
        <v>7.25</v>
      </c>
      <c r="I27" s="68"/>
    </row>
    <row r="28" customFormat="false" ht="18" hidden="false" customHeight="true" outlineLevel="0" collapsed="false">
      <c r="B28" s="59"/>
      <c r="C28" s="90"/>
      <c r="D28" s="61"/>
      <c r="E28" s="57"/>
      <c r="F28" s="66" t="s">
        <v>172</v>
      </c>
      <c r="G28" s="71" t="n">
        <f aca="false">G27*C30</f>
        <v>69.8363146432817</v>
      </c>
      <c r="H28" s="71" t="n">
        <f aca="false">H27*C30</f>
        <v>28.986848409217</v>
      </c>
      <c r="I28" s="68"/>
    </row>
    <row r="29" customFormat="false" ht="19" hidden="false" customHeight="false" outlineLevel="0" collapsed="false">
      <c r="B29" s="59"/>
      <c r="C29" s="91"/>
      <c r="D29" s="61"/>
      <c r="E29" s="57"/>
      <c r="F29" s="66" t="s">
        <v>173</v>
      </c>
      <c r="G29" s="71" t="n">
        <v>50</v>
      </c>
      <c r="H29" s="71" t="n">
        <v>50</v>
      </c>
      <c r="I29" s="68"/>
    </row>
    <row r="30" customFormat="false" ht="19" hidden="false" customHeight="false" outlineLevel="0" collapsed="false">
      <c r="B30" s="59" t="s">
        <v>186</v>
      </c>
      <c r="C30" s="92" t="n">
        <f aca="false">(C24*C26)*(1-design!C20)</f>
        <v>3.9981859874782</v>
      </c>
      <c r="D30" s="61"/>
      <c r="E30" s="57"/>
      <c r="F30" s="76" t="s">
        <v>175</v>
      </c>
      <c r="G30" s="77" t="n">
        <f aca="false">G28+G29</f>
        <v>119.836314643282</v>
      </c>
      <c r="H30" s="77" t="n">
        <f aca="false">H28+H29</f>
        <v>78.986848409217</v>
      </c>
      <c r="I30" s="78"/>
    </row>
    <row r="31" customFormat="false" ht="12.8" hidden="false" customHeight="false" outlineLevel="0" collapsed="false">
      <c r="B31" s="93"/>
      <c r="C31" s="94"/>
      <c r="D31" s="95"/>
      <c r="E31" s="96"/>
      <c r="F31" s="96"/>
      <c r="G31" s="96"/>
      <c r="H31" s="96"/>
      <c r="I31" s="97"/>
    </row>
  </sheetData>
  <mergeCells count="6">
    <mergeCell ref="B3:I3"/>
    <mergeCell ref="B4:D4"/>
    <mergeCell ref="F4:I4"/>
    <mergeCell ref="B21:I21"/>
    <mergeCell ref="B22:D22"/>
    <mergeCell ref="F22:H22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 zeroHeight="true" outlineLevelRow="0" outlineLevelCol="0"/>
  <cols>
    <col collapsed="false" customWidth="true" hidden="false" outlineLevel="0" max="1" min="1" style="0" width="7.58"/>
    <col collapsed="false" customWidth="true" hidden="false" outlineLevel="0" max="12" min="2" style="0" width="14.92"/>
    <col collapsed="false" customWidth="true" hidden="false" outlineLevel="0" max="13" min="13" style="0" width="7.58"/>
    <col collapsed="false" customWidth="true" hidden="true" outlineLevel="0" max="1025" min="14" style="0" width="14.92"/>
  </cols>
  <sheetData>
    <row r="1" customFormat="false" ht="30" hidden="false" customHeight="true" outlineLevel="0" collapsed="false">
      <c r="A1" s="98" t="s">
        <v>187</v>
      </c>
      <c r="B1" s="99" t="s">
        <v>188</v>
      </c>
      <c r="C1" s="99"/>
      <c r="D1" s="99"/>
      <c r="E1" s="99" t="s">
        <v>189</v>
      </c>
      <c r="F1" s="99"/>
      <c r="G1" s="99" t="s">
        <v>190</v>
      </c>
      <c r="H1" s="99"/>
      <c r="I1" s="99"/>
      <c r="J1" s="99" t="s">
        <v>191</v>
      </c>
      <c r="K1" s="99"/>
      <c r="L1" s="99"/>
      <c r="M1" s="100" t="s">
        <v>187</v>
      </c>
    </row>
    <row r="2" customFormat="false" ht="15" hidden="false" customHeight="false" outlineLevel="0" collapsed="false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customFormat="false" ht="15" hidden="false" customHeight="true" outlineLevel="0" collapsed="false">
      <c r="A3" s="98"/>
      <c r="B3" s="99" t="s">
        <v>192</v>
      </c>
      <c r="C3" s="99" t="s">
        <v>193</v>
      </c>
      <c r="D3" s="101" t="s">
        <v>194</v>
      </c>
      <c r="E3" s="99" t="s">
        <v>195</v>
      </c>
      <c r="F3" s="99" t="s">
        <v>196</v>
      </c>
      <c r="G3" s="101" t="s">
        <v>197</v>
      </c>
      <c r="H3" s="99" t="s">
        <v>198</v>
      </c>
      <c r="I3" s="99" t="s">
        <v>199</v>
      </c>
      <c r="J3" s="99" t="s">
        <v>200</v>
      </c>
      <c r="K3" s="99" t="s">
        <v>201</v>
      </c>
      <c r="L3" s="99" t="s">
        <v>202</v>
      </c>
      <c r="M3" s="100"/>
    </row>
    <row r="4" customFormat="false" ht="15" hidden="false" customHeight="false" outlineLevel="0" collapsed="false">
      <c r="A4" s="98"/>
      <c r="B4" s="99"/>
      <c r="C4" s="99"/>
      <c r="D4" s="101"/>
      <c r="E4" s="99"/>
      <c r="F4" s="99"/>
      <c r="G4" s="101"/>
      <c r="H4" s="99"/>
      <c r="I4" s="99"/>
      <c r="J4" s="99"/>
      <c r="K4" s="99"/>
      <c r="L4" s="99"/>
      <c r="M4" s="100"/>
    </row>
    <row r="5" customFormat="false" ht="15" hidden="false" customHeight="false" outlineLevel="0" collapsed="false">
      <c r="A5" s="102" t="n">
        <v>40</v>
      </c>
      <c r="B5" s="103" t="n">
        <v>0.00314</v>
      </c>
      <c r="C5" s="104" t="n">
        <v>0.0799</v>
      </c>
      <c r="D5" s="105" t="n">
        <v>0.102</v>
      </c>
      <c r="E5" s="106" t="n">
        <v>318</v>
      </c>
      <c r="F5" s="107" t="n">
        <v>125</v>
      </c>
      <c r="G5" s="108" t="n">
        <v>0.00989</v>
      </c>
      <c r="H5" s="109" t="n">
        <f aca="false">I5/100</f>
        <v>5.01E-005</v>
      </c>
      <c r="I5" s="110" t="n">
        <v>0.00501</v>
      </c>
      <c r="J5" s="111" t="n">
        <v>3441</v>
      </c>
      <c r="K5" s="104" t="n">
        <f aca="false">J5*10</f>
        <v>34410</v>
      </c>
      <c r="L5" s="105" t="n">
        <v>1049</v>
      </c>
      <c r="M5" s="112" t="n">
        <v>40</v>
      </c>
    </row>
    <row r="6" customFormat="false" ht="15" hidden="false" customHeight="false" outlineLevel="0" collapsed="false">
      <c r="A6" s="113" t="n">
        <v>39</v>
      </c>
      <c r="B6" s="103" t="n">
        <v>0.00353</v>
      </c>
      <c r="C6" s="114" t="n">
        <v>0.0897</v>
      </c>
      <c r="D6" s="105" t="n">
        <v>0.114</v>
      </c>
      <c r="E6" s="115" t="n">
        <v>283</v>
      </c>
      <c r="F6" s="107" t="n">
        <v>111</v>
      </c>
      <c r="G6" s="116" t="n">
        <v>0.0125</v>
      </c>
      <c r="H6" s="109" t="n">
        <f aca="false">I6/100</f>
        <v>6.32E-005</v>
      </c>
      <c r="I6" s="117" t="n">
        <v>0.00632</v>
      </c>
      <c r="J6" s="111" t="n">
        <v>2729</v>
      </c>
      <c r="K6" s="114" t="n">
        <f aca="false">J6*10</f>
        <v>27290</v>
      </c>
      <c r="L6" s="105" t="n">
        <v>831.8</v>
      </c>
      <c r="M6" s="118" t="n">
        <v>39</v>
      </c>
    </row>
    <row r="7" customFormat="false" ht="15" hidden="false" customHeight="false" outlineLevel="0" collapsed="false">
      <c r="A7" s="102" t="n">
        <v>38</v>
      </c>
      <c r="B7" s="103" t="n">
        <v>0.00397</v>
      </c>
      <c r="C7" s="104" t="n">
        <v>0.101</v>
      </c>
      <c r="D7" s="105" t="n">
        <v>0.13</v>
      </c>
      <c r="E7" s="106" t="n">
        <v>252</v>
      </c>
      <c r="F7" s="107" t="n">
        <v>99.3</v>
      </c>
      <c r="G7" s="108" t="n">
        <v>0.0157</v>
      </c>
      <c r="H7" s="109" t="n">
        <f aca="false">I7/100</f>
        <v>7.97E-005</v>
      </c>
      <c r="I7" s="110" t="n">
        <v>0.00797</v>
      </c>
      <c r="J7" s="111" t="n">
        <v>2164</v>
      </c>
      <c r="K7" s="104" t="n">
        <f aca="false">J7*10</f>
        <v>21640</v>
      </c>
      <c r="L7" s="105" t="n">
        <v>659.6</v>
      </c>
      <c r="M7" s="112" t="n">
        <v>38</v>
      </c>
    </row>
    <row r="8" customFormat="false" ht="15" hidden="false" customHeight="false" outlineLevel="0" collapsed="false">
      <c r="A8" s="113" t="n">
        <v>37</v>
      </c>
      <c r="B8" s="103" t="n">
        <v>0.00445</v>
      </c>
      <c r="C8" s="114" t="n">
        <v>0.113</v>
      </c>
      <c r="D8" s="105" t="n">
        <v>0.145</v>
      </c>
      <c r="E8" s="115" t="n">
        <v>225</v>
      </c>
      <c r="F8" s="107" t="n">
        <v>88.4</v>
      </c>
      <c r="G8" s="116" t="n">
        <v>0.0198</v>
      </c>
      <c r="H8" s="109" t="n">
        <f aca="false">I8/100</f>
        <v>0.0001</v>
      </c>
      <c r="I8" s="117" t="n">
        <v>0.01</v>
      </c>
      <c r="J8" s="111" t="n">
        <v>1716</v>
      </c>
      <c r="K8" s="114" t="n">
        <f aca="false">J8*10</f>
        <v>17160</v>
      </c>
      <c r="L8" s="105" t="n">
        <v>523.1</v>
      </c>
      <c r="M8" s="118" t="n">
        <v>37</v>
      </c>
    </row>
    <row r="9" customFormat="false" ht="15" hidden="false" customHeight="false" outlineLevel="0" collapsed="false">
      <c r="A9" s="102" t="n">
        <v>36</v>
      </c>
      <c r="B9" s="119" t="n">
        <v>0.005</v>
      </c>
      <c r="C9" s="120" t="n">
        <v>0.127</v>
      </c>
      <c r="D9" s="121" t="n">
        <v>0.16</v>
      </c>
      <c r="E9" s="106" t="n">
        <v>200</v>
      </c>
      <c r="F9" s="107" t="n">
        <v>78.7</v>
      </c>
      <c r="G9" s="108" t="n">
        <v>0.025</v>
      </c>
      <c r="H9" s="109" t="n">
        <f aca="false">I9/100</f>
        <v>0.000127</v>
      </c>
      <c r="I9" s="110" t="n">
        <v>0.0127</v>
      </c>
      <c r="J9" s="111" t="n">
        <v>1361</v>
      </c>
      <c r="K9" s="104" t="n">
        <f aca="false">J9*10</f>
        <v>13610</v>
      </c>
      <c r="L9" s="105" t="n">
        <v>414.8</v>
      </c>
      <c r="M9" s="112" t="n">
        <v>36</v>
      </c>
    </row>
    <row r="10" s="122" customFormat="true" ht="15" hidden="false" customHeight="false" outlineLevel="0" collapsed="false">
      <c r="A10" s="113" t="n">
        <v>35</v>
      </c>
      <c r="B10" s="103" t="n">
        <v>0.00561</v>
      </c>
      <c r="C10" s="114" t="n">
        <v>0.143</v>
      </c>
      <c r="D10" s="105" t="n">
        <v>0.178</v>
      </c>
      <c r="E10" s="115" t="n">
        <v>178</v>
      </c>
      <c r="F10" s="107" t="n">
        <v>70.1</v>
      </c>
      <c r="G10" s="116" t="n">
        <v>0.0315</v>
      </c>
      <c r="H10" s="109" t="n">
        <f aca="false">I10/100</f>
        <v>0.00016</v>
      </c>
      <c r="I10" s="117" t="n">
        <v>0.016</v>
      </c>
      <c r="J10" s="111" t="n">
        <v>1079</v>
      </c>
      <c r="K10" s="114" t="n">
        <f aca="false">J10*10</f>
        <v>10790</v>
      </c>
      <c r="L10" s="105" t="n">
        <v>329</v>
      </c>
      <c r="M10" s="118" t="n">
        <v>35</v>
      </c>
    </row>
    <row r="11" customFormat="false" ht="15" hidden="false" customHeight="false" outlineLevel="0" collapsed="false">
      <c r="A11" s="102" t="n">
        <v>34</v>
      </c>
      <c r="B11" s="103" t="n">
        <v>0.0063</v>
      </c>
      <c r="C11" s="104" t="n">
        <v>0.16</v>
      </c>
      <c r="D11" s="105" t="n">
        <v>0.198</v>
      </c>
      <c r="E11" s="106" t="n">
        <v>159</v>
      </c>
      <c r="F11" s="107" t="n">
        <v>62.4</v>
      </c>
      <c r="G11" s="108" t="n">
        <v>0.0398</v>
      </c>
      <c r="H11" s="109" t="n">
        <f aca="false">I11/100</f>
        <v>0.000201</v>
      </c>
      <c r="I11" s="110" t="n">
        <v>0.0201</v>
      </c>
      <c r="J11" s="111" t="n">
        <v>856</v>
      </c>
      <c r="K11" s="104" t="n">
        <f aca="false">J11*10</f>
        <v>8560</v>
      </c>
      <c r="L11" s="105" t="n">
        <v>260.9</v>
      </c>
      <c r="M11" s="112" t="n">
        <v>34</v>
      </c>
    </row>
    <row r="12" s="122" customFormat="true" ht="15" hidden="false" customHeight="false" outlineLevel="0" collapsed="false">
      <c r="A12" s="113" t="n">
        <v>33</v>
      </c>
      <c r="B12" s="103" t="n">
        <v>0.00708</v>
      </c>
      <c r="C12" s="114" t="n">
        <v>0.18</v>
      </c>
      <c r="D12" s="105" t="n">
        <v>0.224</v>
      </c>
      <c r="E12" s="115" t="n">
        <v>141</v>
      </c>
      <c r="F12" s="107" t="n">
        <v>55.6</v>
      </c>
      <c r="G12" s="116" t="n">
        <v>0.0501</v>
      </c>
      <c r="H12" s="109" t="n">
        <f aca="false">I12/100</f>
        <v>0.000254</v>
      </c>
      <c r="I12" s="117" t="n">
        <v>0.0254</v>
      </c>
      <c r="J12" s="111" t="n">
        <v>678.8</v>
      </c>
      <c r="K12" s="114" t="n">
        <f aca="false">J12*10</f>
        <v>6788</v>
      </c>
      <c r="L12" s="105" t="n">
        <v>206.9</v>
      </c>
      <c r="M12" s="118" t="n">
        <v>33</v>
      </c>
    </row>
    <row r="13" customFormat="false" ht="15" hidden="false" customHeight="false" outlineLevel="0" collapsed="false">
      <c r="A13" s="102" t="n">
        <v>32</v>
      </c>
      <c r="B13" s="103" t="n">
        <v>0.00795</v>
      </c>
      <c r="C13" s="104" t="n">
        <v>0.202</v>
      </c>
      <c r="D13" s="105" t="n">
        <v>0.249</v>
      </c>
      <c r="E13" s="106" t="n">
        <v>126</v>
      </c>
      <c r="F13" s="107" t="n">
        <v>49.5</v>
      </c>
      <c r="G13" s="108" t="n">
        <v>0.0632</v>
      </c>
      <c r="H13" s="109" t="n">
        <f aca="false">I13/100</f>
        <v>0.00032</v>
      </c>
      <c r="I13" s="110" t="n">
        <v>0.032</v>
      </c>
      <c r="J13" s="111" t="n">
        <v>538.3</v>
      </c>
      <c r="K13" s="104" t="n">
        <f aca="false">J13*10</f>
        <v>5383</v>
      </c>
      <c r="L13" s="105" t="n">
        <v>164.1</v>
      </c>
      <c r="M13" s="112" t="n">
        <v>32</v>
      </c>
    </row>
    <row r="14" s="122" customFormat="true" ht="15" hidden="false" customHeight="false" outlineLevel="0" collapsed="false">
      <c r="A14" s="113" t="n">
        <v>31</v>
      </c>
      <c r="B14" s="103" t="n">
        <v>0.00893</v>
      </c>
      <c r="C14" s="114" t="n">
        <v>0.227</v>
      </c>
      <c r="D14" s="105" t="n">
        <v>0.274</v>
      </c>
      <c r="E14" s="115" t="n">
        <v>112</v>
      </c>
      <c r="F14" s="107" t="n">
        <v>44.1</v>
      </c>
      <c r="G14" s="116" t="n">
        <v>0.0797</v>
      </c>
      <c r="H14" s="109" t="n">
        <f aca="false">I14/100</f>
        <v>0.000404</v>
      </c>
      <c r="I14" s="117" t="n">
        <v>0.0404</v>
      </c>
      <c r="J14" s="111" t="n">
        <v>426.9</v>
      </c>
      <c r="K14" s="114" t="n">
        <f aca="false">J14*10</f>
        <v>4269</v>
      </c>
      <c r="L14" s="105" t="n">
        <v>130.1</v>
      </c>
      <c r="M14" s="118" t="n">
        <v>31</v>
      </c>
    </row>
    <row r="15" customFormat="false" ht="15" hidden="false" customHeight="false" outlineLevel="0" collapsed="false">
      <c r="A15" s="102" t="n">
        <v>30</v>
      </c>
      <c r="B15" s="103" t="n">
        <v>0.01</v>
      </c>
      <c r="C15" s="104" t="n">
        <v>0.255</v>
      </c>
      <c r="D15" s="105" t="n">
        <v>0.302</v>
      </c>
      <c r="E15" s="106" t="n">
        <v>99.7</v>
      </c>
      <c r="F15" s="107" t="n">
        <v>39.3</v>
      </c>
      <c r="G15" s="108" t="n">
        <v>0.101</v>
      </c>
      <c r="H15" s="109" t="n">
        <f aca="false">I15/100</f>
        <v>0.000509</v>
      </c>
      <c r="I15" s="110" t="n">
        <v>0.0509</v>
      </c>
      <c r="J15" s="111" t="n">
        <v>338.6</v>
      </c>
      <c r="K15" s="104" t="n">
        <f aca="false">J15*10</f>
        <v>3386</v>
      </c>
      <c r="L15" s="105" t="n">
        <v>103.2</v>
      </c>
      <c r="M15" s="112" t="n">
        <v>30</v>
      </c>
    </row>
    <row r="16" s="122" customFormat="true" ht="15" hidden="false" customHeight="false" outlineLevel="0" collapsed="false">
      <c r="A16" s="113" t="n">
        <v>29</v>
      </c>
      <c r="B16" s="103" t="n">
        <v>0.0113</v>
      </c>
      <c r="C16" s="114" t="n">
        <v>0.286</v>
      </c>
      <c r="D16" s="105" t="n">
        <v>0.338</v>
      </c>
      <c r="E16" s="115" t="n">
        <v>88.8</v>
      </c>
      <c r="F16" s="107" t="n">
        <v>35</v>
      </c>
      <c r="G16" s="116" t="n">
        <v>0.127</v>
      </c>
      <c r="H16" s="109" t="n">
        <f aca="false">I16/100</f>
        <v>0.000642</v>
      </c>
      <c r="I16" s="117" t="n">
        <v>0.0642</v>
      </c>
      <c r="J16" s="111" t="n">
        <v>268.5</v>
      </c>
      <c r="K16" s="114" t="n">
        <f aca="false">J16*10</f>
        <v>2685</v>
      </c>
      <c r="L16" s="105" t="n">
        <v>81.84</v>
      </c>
      <c r="M16" s="118" t="n">
        <v>29</v>
      </c>
    </row>
    <row r="17" customFormat="false" ht="15" hidden="false" customHeight="false" outlineLevel="0" collapsed="false">
      <c r="A17" s="102" t="n">
        <v>28</v>
      </c>
      <c r="B17" s="103" t="n">
        <v>0.0126</v>
      </c>
      <c r="C17" s="104" t="n">
        <v>0.321</v>
      </c>
      <c r="D17" s="105" t="n">
        <v>0.373</v>
      </c>
      <c r="E17" s="106" t="n">
        <v>79.1</v>
      </c>
      <c r="F17" s="107" t="n">
        <v>31.1</v>
      </c>
      <c r="G17" s="108" t="n">
        <v>0.16</v>
      </c>
      <c r="H17" s="109" t="n">
        <f aca="false">I17/100</f>
        <v>0.00081</v>
      </c>
      <c r="I17" s="110" t="n">
        <v>0.081</v>
      </c>
      <c r="J17" s="111" t="n">
        <v>212.9</v>
      </c>
      <c r="K17" s="104" t="n">
        <f aca="false">J17*10</f>
        <v>2129</v>
      </c>
      <c r="L17" s="105" t="n">
        <v>64.9</v>
      </c>
      <c r="M17" s="112" t="n">
        <v>28</v>
      </c>
    </row>
    <row r="18" s="122" customFormat="true" ht="15" hidden="false" customHeight="false" outlineLevel="0" collapsed="false">
      <c r="A18" s="113" t="n">
        <v>27</v>
      </c>
      <c r="B18" s="103" t="n">
        <v>0.0142</v>
      </c>
      <c r="C18" s="114" t="n">
        <v>0.361</v>
      </c>
      <c r="D18" s="105" t="n">
        <v>0.417</v>
      </c>
      <c r="E18" s="115" t="n">
        <v>70.4</v>
      </c>
      <c r="F18" s="107" t="n">
        <v>27.7</v>
      </c>
      <c r="G18" s="116" t="n">
        <v>0.202</v>
      </c>
      <c r="H18" s="109" t="n">
        <f aca="false">I18/100</f>
        <v>0.00102</v>
      </c>
      <c r="I18" s="117" t="n">
        <v>0.102</v>
      </c>
      <c r="J18" s="111" t="n">
        <v>168.9</v>
      </c>
      <c r="K18" s="114" t="n">
        <f aca="false">J18*10</f>
        <v>1689</v>
      </c>
      <c r="L18" s="105" t="n">
        <v>51.47</v>
      </c>
      <c r="M18" s="118" t="n">
        <v>27</v>
      </c>
    </row>
    <row r="19" customFormat="false" ht="15" hidden="false" customHeight="false" outlineLevel="0" collapsed="false">
      <c r="A19" s="102" t="n">
        <v>26</v>
      </c>
      <c r="B19" s="103" t="n">
        <v>0.0159</v>
      </c>
      <c r="C19" s="104" t="n">
        <v>0.405</v>
      </c>
      <c r="D19" s="105" t="n">
        <v>0.462</v>
      </c>
      <c r="E19" s="106" t="n">
        <v>62.7</v>
      </c>
      <c r="F19" s="107" t="n">
        <v>24.7</v>
      </c>
      <c r="G19" s="108" t="n">
        <v>0.254</v>
      </c>
      <c r="H19" s="109" t="n">
        <f aca="false">I19/100</f>
        <v>0.00129</v>
      </c>
      <c r="I19" s="110" t="n">
        <v>0.129</v>
      </c>
      <c r="J19" s="111" t="n">
        <v>133.9</v>
      </c>
      <c r="K19" s="104" t="n">
        <f aca="false">J19*10</f>
        <v>1339</v>
      </c>
      <c r="L19" s="105" t="n">
        <v>40.81</v>
      </c>
      <c r="M19" s="112" t="n">
        <v>26</v>
      </c>
    </row>
    <row r="20" s="122" customFormat="true" ht="15" hidden="false" customHeight="false" outlineLevel="0" collapsed="false">
      <c r="A20" s="113" t="n">
        <v>25</v>
      </c>
      <c r="B20" s="103" t="n">
        <v>0.0179</v>
      </c>
      <c r="C20" s="114" t="n">
        <v>0.455</v>
      </c>
      <c r="D20" s="105" t="n">
        <v>0.516</v>
      </c>
      <c r="E20" s="115" t="n">
        <v>55.9</v>
      </c>
      <c r="F20" s="107" t="n">
        <v>22</v>
      </c>
      <c r="G20" s="116" t="n">
        <v>0.32</v>
      </c>
      <c r="H20" s="109" t="n">
        <f aca="false">I20/100</f>
        <v>0.00162</v>
      </c>
      <c r="I20" s="117" t="n">
        <v>0.162</v>
      </c>
      <c r="J20" s="111" t="n">
        <v>106.2</v>
      </c>
      <c r="K20" s="114" t="n">
        <f aca="false">J20*10</f>
        <v>1062</v>
      </c>
      <c r="L20" s="105" t="n">
        <v>32.37</v>
      </c>
      <c r="M20" s="118" t="n">
        <v>25</v>
      </c>
    </row>
    <row r="21" customFormat="false" ht="15" hidden="false" customHeight="false" outlineLevel="0" collapsed="false">
      <c r="A21" s="102" t="n">
        <v>24</v>
      </c>
      <c r="B21" s="103" t="n">
        <v>0.0201</v>
      </c>
      <c r="C21" s="104" t="n">
        <v>0.511</v>
      </c>
      <c r="D21" s="105" t="n">
        <v>0.577</v>
      </c>
      <c r="E21" s="106" t="n">
        <v>49.7</v>
      </c>
      <c r="F21" s="107" t="n">
        <v>19.6</v>
      </c>
      <c r="G21" s="108" t="n">
        <v>0.404</v>
      </c>
      <c r="H21" s="109" t="n">
        <f aca="false">I21/100</f>
        <v>0.00205</v>
      </c>
      <c r="I21" s="110" t="n">
        <v>0.205</v>
      </c>
      <c r="J21" s="111" t="n">
        <v>84.22</v>
      </c>
      <c r="K21" s="104" t="n">
        <f aca="false">J21*10</f>
        <v>842.2</v>
      </c>
      <c r="L21" s="105" t="n">
        <v>25.67</v>
      </c>
      <c r="M21" s="112" t="n">
        <v>24</v>
      </c>
    </row>
    <row r="22" s="122" customFormat="true" ht="15" hidden="false" customHeight="false" outlineLevel="0" collapsed="false">
      <c r="A22" s="113" t="n">
        <v>23</v>
      </c>
      <c r="B22" s="103" t="n">
        <v>0.0226</v>
      </c>
      <c r="C22" s="114" t="n">
        <v>0.573</v>
      </c>
      <c r="D22" s="105" t="n">
        <v>0.642</v>
      </c>
      <c r="E22" s="115" t="n">
        <v>44.3</v>
      </c>
      <c r="F22" s="107" t="n">
        <v>17.4</v>
      </c>
      <c r="G22" s="116" t="n">
        <v>0.509</v>
      </c>
      <c r="H22" s="109" t="n">
        <f aca="false">I22/100</f>
        <v>0.00258</v>
      </c>
      <c r="I22" s="117" t="n">
        <v>0.258</v>
      </c>
      <c r="J22" s="111" t="n">
        <v>66.79</v>
      </c>
      <c r="K22" s="114" t="n">
        <f aca="false">J22*10</f>
        <v>667.9</v>
      </c>
      <c r="L22" s="105" t="n">
        <v>20.36</v>
      </c>
      <c r="M22" s="118" t="n">
        <v>23</v>
      </c>
    </row>
    <row r="23" customFormat="false" ht="15" hidden="false" customHeight="false" outlineLevel="0" collapsed="false">
      <c r="A23" s="102" t="n">
        <v>22</v>
      </c>
      <c r="B23" s="103" t="n">
        <v>0.0253</v>
      </c>
      <c r="C23" s="104" t="n">
        <v>0.644</v>
      </c>
      <c r="D23" s="105" t="n">
        <v>0.714</v>
      </c>
      <c r="E23" s="106" t="n">
        <v>39.5</v>
      </c>
      <c r="F23" s="107" t="n">
        <v>15.5</v>
      </c>
      <c r="G23" s="108" t="n">
        <v>0.642</v>
      </c>
      <c r="H23" s="109" t="n">
        <f aca="false">I23/100</f>
        <v>0.00326</v>
      </c>
      <c r="I23" s="110" t="n">
        <v>0.326</v>
      </c>
      <c r="J23" s="111" t="n">
        <v>52.96</v>
      </c>
      <c r="K23" s="104" t="n">
        <f aca="false">J23*10</f>
        <v>529.6</v>
      </c>
      <c r="L23" s="105" t="n">
        <v>16.14</v>
      </c>
      <c r="M23" s="112" t="n">
        <v>22</v>
      </c>
    </row>
    <row r="24" s="122" customFormat="true" ht="15" hidden="false" customHeight="false" outlineLevel="0" collapsed="false">
      <c r="A24" s="113" t="n">
        <v>21</v>
      </c>
      <c r="B24" s="103" t="n">
        <v>0.0285</v>
      </c>
      <c r="C24" s="114" t="n">
        <v>0.723</v>
      </c>
      <c r="D24" s="105" t="n">
        <v>0.798</v>
      </c>
      <c r="E24" s="115" t="n">
        <v>35.1</v>
      </c>
      <c r="F24" s="107" t="n">
        <v>13.8</v>
      </c>
      <c r="G24" s="116" t="n">
        <v>0.81</v>
      </c>
      <c r="H24" s="109" t="n">
        <f aca="false">I24/100</f>
        <v>0.0041</v>
      </c>
      <c r="I24" s="117" t="n">
        <v>0.41</v>
      </c>
      <c r="J24" s="111" t="n">
        <v>42</v>
      </c>
      <c r="K24" s="114" t="n">
        <f aca="false">J24*10</f>
        <v>420</v>
      </c>
      <c r="L24" s="105" t="n">
        <v>12.8</v>
      </c>
      <c r="M24" s="118" t="n">
        <v>21</v>
      </c>
    </row>
    <row r="25" customFormat="false" ht="15" hidden="false" customHeight="false" outlineLevel="0" collapsed="false">
      <c r="A25" s="102" t="n">
        <v>20</v>
      </c>
      <c r="B25" s="103" t="n">
        <v>0.032</v>
      </c>
      <c r="C25" s="104" t="n">
        <v>0.812</v>
      </c>
      <c r="D25" s="105" t="n">
        <v>0.892</v>
      </c>
      <c r="E25" s="106" t="n">
        <v>31.3</v>
      </c>
      <c r="F25" s="107" t="n">
        <v>12.3</v>
      </c>
      <c r="G25" s="108" t="n">
        <v>1.02</v>
      </c>
      <c r="H25" s="109" t="n">
        <f aca="false">I25/100</f>
        <v>0.00518</v>
      </c>
      <c r="I25" s="110" t="n">
        <v>0.518</v>
      </c>
      <c r="J25" s="111" t="n">
        <v>33.31</v>
      </c>
      <c r="K25" s="104" t="n">
        <f aca="false">J25*10</f>
        <v>333.1</v>
      </c>
      <c r="L25" s="105" t="n">
        <v>10.15</v>
      </c>
      <c r="M25" s="112" t="n">
        <v>20</v>
      </c>
    </row>
    <row r="26" s="122" customFormat="true" ht="15" hidden="false" customHeight="false" outlineLevel="0" collapsed="false">
      <c r="A26" s="113" t="n">
        <v>19</v>
      </c>
      <c r="B26" s="103" t="n">
        <v>0.0359</v>
      </c>
      <c r="C26" s="114" t="n">
        <v>0.912</v>
      </c>
      <c r="D26" s="105" t="n">
        <v>0.993</v>
      </c>
      <c r="E26" s="115" t="n">
        <v>27.9</v>
      </c>
      <c r="F26" s="107" t="n">
        <v>11</v>
      </c>
      <c r="G26" s="116" t="n">
        <v>1.29</v>
      </c>
      <c r="H26" s="109" t="n">
        <f aca="false">I26/100</f>
        <v>0.00653</v>
      </c>
      <c r="I26" s="117" t="n">
        <v>0.653</v>
      </c>
      <c r="J26" s="111" t="n">
        <v>26.42</v>
      </c>
      <c r="K26" s="114" t="n">
        <f aca="false">J26*10</f>
        <v>264.2</v>
      </c>
      <c r="L26" s="105" t="n">
        <v>8.051</v>
      </c>
      <c r="M26" s="118" t="n">
        <v>19</v>
      </c>
    </row>
    <row r="27" customFormat="false" ht="15" hidden="false" customHeight="false" outlineLevel="0" collapsed="false">
      <c r="A27" s="102" t="n">
        <v>18</v>
      </c>
      <c r="B27" s="103" t="n">
        <v>0.0403</v>
      </c>
      <c r="C27" s="104" t="n">
        <v>1.024</v>
      </c>
      <c r="D27" s="105" t="n">
        <v>1.11</v>
      </c>
      <c r="E27" s="106" t="n">
        <v>24.8</v>
      </c>
      <c r="F27" s="107" t="n">
        <v>9.77</v>
      </c>
      <c r="G27" s="108" t="n">
        <v>1.62</v>
      </c>
      <c r="H27" s="109" t="n">
        <f aca="false">I27/100</f>
        <v>0.00823</v>
      </c>
      <c r="I27" s="110" t="n">
        <v>0.823</v>
      </c>
      <c r="J27" s="111" t="n">
        <v>20.95</v>
      </c>
      <c r="K27" s="104" t="n">
        <f aca="false">J27*10</f>
        <v>209.5</v>
      </c>
      <c r="L27" s="105" t="n">
        <v>6.385</v>
      </c>
      <c r="M27" s="112" t="n">
        <v>18</v>
      </c>
    </row>
    <row r="28" s="122" customFormat="true" ht="15" hidden="false" customHeight="false" outlineLevel="0" collapsed="false">
      <c r="A28" s="113" t="n">
        <v>17</v>
      </c>
      <c r="B28" s="103" t="n">
        <v>0.0453</v>
      </c>
      <c r="C28" s="114" t="n">
        <v>1.15</v>
      </c>
      <c r="D28" s="105" t="n">
        <v>1.24</v>
      </c>
      <c r="E28" s="115" t="n">
        <v>22.1</v>
      </c>
      <c r="F28" s="107" t="n">
        <v>8.7</v>
      </c>
      <c r="G28" s="116" t="n">
        <v>2.05</v>
      </c>
      <c r="H28" s="109" t="n">
        <f aca="false">I28/100</f>
        <v>0.0104</v>
      </c>
      <c r="I28" s="117" t="n">
        <v>1.04</v>
      </c>
      <c r="J28" s="111" t="n">
        <v>16.61</v>
      </c>
      <c r="K28" s="114" t="n">
        <f aca="false">J28*10</f>
        <v>166.1</v>
      </c>
      <c r="L28" s="105" t="n">
        <v>5.064</v>
      </c>
      <c r="M28" s="118" t="n">
        <v>17</v>
      </c>
    </row>
    <row r="29" customFormat="false" ht="15" hidden="false" customHeight="false" outlineLevel="0" collapsed="false">
      <c r="A29" s="102" t="n">
        <v>16</v>
      </c>
      <c r="B29" s="103" t="n">
        <v>0.0508</v>
      </c>
      <c r="C29" s="104" t="n">
        <v>1.291</v>
      </c>
      <c r="D29" s="105" t="n">
        <v>1.384</v>
      </c>
      <c r="E29" s="106" t="n">
        <v>19.7</v>
      </c>
      <c r="F29" s="107" t="n">
        <v>7.75</v>
      </c>
      <c r="G29" s="108" t="n">
        <v>2.58</v>
      </c>
      <c r="H29" s="109" t="n">
        <f aca="false">I29/100</f>
        <v>0.0131</v>
      </c>
      <c r="I29" s="110" t="n">
        <v>1.31</v>
      </c>
      <c r="J29" s="111" t="n">
        <v>13.17</v>
      </c>
      <c r="K29" s="104" t="n">
        <f aca="false">J29*10</f>
        <v>131.7</v>
      </c>
      <c r="L29" s="105" t="n">
        <v>4.016</v>
      </c>
      <c r="M29" s="112" t="n">
        <v>16</v>
      </c>
    </row>
    <row r="30" s="122" customFormat="true" ht="15" hidden="false" customHeight="false" outlineLevel="0" collapsed="false">
      <c r="A30" s="113" t="n">
        <v>15</v>
      </c>
      <c r="B30" s="103" t="n">
        <v>0.0571</v>
      </c>
      <c r="C30" s="114" t="n">
        <v>1.45</v>
      </c>
      <c r="D30" s="105" t="n">
        <v>1.547</v>
      </c>
      <c r="E30" s="115" t="n">
        <v>17.5</v>
      </c>
      <c r="F30" s="107" t="n">
        <v>6.9</v>
      </c>
      <c r="G30" s="116" t="n">
        <v>3.26</v>
      </c>
      <c r="H30" s="109" t="n">
        <f aca="false">I30/100</f>
        <v>0.0165</v>
      </c>
      <c r="I30" s="117" t="n">
        <v>1.65</v>
      </c>
      <c r="J30" s="111" t="n">
        <v>10.45</v>
      </c>
      <c r="K30" s="114" t="n">
        <f aca="false">J30*10</f>
        <v>104.5</v>
      </c>
      <c r="L30" s="105" t="n">
        <v>3.184</v>
      </c>
      <c r="M30" s="118" t="n">
        <v>15</v>
      </c>
    </row>
    <row r="31" customFormat="false" ht="15" hidden="false" customHeight="false" outlineLevel="0" collapsed="false">
      <c r="A31" s="102" t="n">
        <v>14</v>
      </c>
      <c r="B31" s="103" t="n">
        <v>0.0641</v>
      </c>
      <c r="C31" s="104" t="n">
        <v>1.628</v>
      </c>
      <c r="D31" s="105" t="n">
        <v>1.732</v>
      </c>
      <c r="E31" s="106" t="n">
        <v>15.6</v>
      </c>
      <c r="F31" s="107" t="n">
        <v>6.14</v>
      </c>
      <c r="G31" s="108" t="n">
        <v>4.11</v>
      </c>
      <c r="H31" s="109" t="n">
        <f aca="false">I31/100</f>
        <v>0.0208</v>
      </c>
      <c r="I31" s="110" t="n">
        <v>2.08</v>
      </c>
      <c r="J31" s="111" t="n">
        <v>8.286</v>
      </c>
      <c r="K31" s="104" t="n">
        <f aca="false">J31*10</f>
        <v>82.86</v>
      </c>
      <c r="L31" s="105" t="n">
        <v>2.525</v>
      </c>
      <c r="M31" s="112" t="n">
        <v>14</v>
      </c>
    </row>
    <row r="32" s="122" customFormat="true" ht="15" hidden="false" customHeight="false" outlineLevel="0" collapsed="false">
      <c r="A32" s="113" t="n">
        <v>13</v>
      </c>
      <c r="B32" s="103" t="n">
        <v>0.072</v>
      </c>
      <c r="C32" s="114" t="n">
        <v>1.828</v>
      </c>
      <c r="D32" s="105" t="n">
        <v>1.934</v>
      </c>
      <c r="E32" s="115" t="n">
        <v>13.9</v>
      </c>
      <c r="F32" s="107" t="n">
        <v>5.47</v>
      </c>
      <c r="G32" s="116" t="n">
        <v>5.18</v>
      </c>
      <c r="H32" s="109" t="n">
        <f aca="false">I32/100</f>
        <v>0.0262</v>
      </c>
      <c r="I32" s="117" t="n">
        <v>2.62</v>
      </c>
      <c r="J32" s="111" t="n">
        <v>6.571</v>
      </c>
      <c r="K32" s="114" t="n">
        <f aca="false">J32*10</f>
        <v>65.71</v>
      </c>
      <c r="L32" s="105" t="n">
        <v>2.003</v>
      </c>
      <c r="M32" s="118" t="n">
        <v>13</v>
      </c>
    </row>
    <row r="33" customFormat="false" ht="15" hidden="false" customHeight="false" outlineLevel="0" collapsed="false">
      <c r="A33" s="102" t="n">
        <v>12</v>
      </c>
      <c r="B33" s="103" t="n">
        <v>0.0808</v>
      </c>
      <c r="C33" s="104" t="n">
        <v>2.053</v>
      </c>
      <c r="D33" s="105" t="n">
        <v>2.163</v>
      </c>
      <c r="E33" s="106" t="n">
        <v>12.4</v>
      </c>
      <c r="F33" s="107" t="n">
        <v>4.87</v>
      </c>
      <c r="G33" s="108" t="n">
        <v>6.53</v>
      </c>
      <c r="H33" s="109" t="n">
        <f aca="false">I33/100</f>
        <v>0.0331</v>
      </c>
      <c r="I33" s="110" t="n">
        <v>3.31</v>
      </c>
      <c r="J33" s="111" t="n">
        <v>5.211</v>
      </c>
      <c r="K33" s="104" t="n">
        <f aca="false">J33*10</f>
        <v>52.11</v>
      </c>
      <c r="L33" s="105" t="n">
        <v>1.588</v>
      </c>
      <c r="M33" s="112" t="n">
        <v>12</v>
      </c>
    </row>
    <row r="34" s="122" customFormat="true" ht="15" hidden="false" customHeight="false" outlineLevel="0" collapsed="false">
      <c r="A34" s="113" t="n">
        <v>11</v>
      </c>
      <c r="B34" s="103" t="n">
        <v>0.0907</v>
      </c>
      <c r="C34" s="114" t="n">
        <v>2.305</v>
      </c>
      <c r="D34" s="105" t="n">
        <v>2.418</v>
      </c>
      <c r="E34" s="115" t="n">
        <v>11</v>
      </c>
      <c r="F34" s="107" t="n">
        <v>4.34</v>
      </c>
      <c r="G34" s="116" t="n">
        <v>8.23</v>
      </c>
      <c r="H34" s="109" t="n">
        <f aca="false">I34/100</f>
        <v>0.0417</v>
      </c>
      <c r="I34" s="117" t="n">
        <v>4.17</v>
      </c>
      <c r="J34" s="111" t="n">
        <v>4.132</v>
      </c>
      <c r="K34" s="114" t="n">
        <f aca="false">J34*10</f>
        <v>41.32</v>
      </c>
      <c r="L34" s="105" t="n">
        <v>1.26</v>
      </c>
      <c r="M34" s="118" t="n">
        <v>11</v>
      </c>
    </row>
    <row r="35" customFormat="false" ht="15" hidden="false" customHeight="false" outlineLevel="0" collapsed="false">
      <c r="A35" s="102" t="n">
        <v>10</v>
      </c>
      <c r="B35" s="103" t="n">
        <v>0.1019</v>
      </c>
      <c r="C35" s="104" t="n">
        <v>2.588</v>
      </c>
      <c r="D35" s="105" t="n">
        <v>2.703</v>
      </c>
      <c r="E35" s="106" t="n">
        <v>9.81</v>
      </c>
      <c r="F35" s="107" t="n">
        <v>3.86</v>
      </c>
      <c r="G35" s="108" t="n">
        <v>10.4</v>
      </c>
      <c r="H35" s="109" t="n">
        <f aca="false">I35/100</f>
        <v>0.0526</v>
      </c>
      <c r="I35" s="110" t="n">
        <v>5.26</v>
      </c>
      <c r="J35" s="111" t="n">
        <v>3.277</v>
      </c>
      <c r="K35" s="104" t="n">
        <f aca="false">J35*10</f>
        <v>32.77</v>
      </c>
      <c r="L35" s="105" t="n">
        <v>0.9989</v>
      </c>
      <c r="M35" s="112" t="n">
        <v>10</v>
      </c>
    </row>
    <row r="36" s="122" customFormat="true" ht="15" hidden="false" customHeight="false" outlineLevel="0" collapsed="false">
      <c r="A36" s="113" t="n">
        <v>9</v>
      </c>
      <c r="B36" s="103" t="n">
        <v>0.1144</v>
      </c>
      <c r="C36" s="114" t="n">
        <v>2.906</v>
      </c>
      <c r="D36" s="105" t="n">
        <v>0</v>
      </c>
      <c r="E36" s="115" t="n">
        <v>8.74</v>
      </c>
      <c r="F36" s="107" t="n">
        <v>3.44</v>
      </c>
      <c r="G36" s="116" t="n">
        <v>13.1</v>
      </c>
      <c r="H36" s="109" t="n">
        <f aca="false">I36/100</f>
        <v>0.0663</v>
      </c>
      <c r="I36" s="117" t="n">
        <v>6.63</v>
      </c>
      <c r="J36" s="111" t="n">
        <v>2.599</v>
      </c>
      <c r="K36" s="114" t="n">
        <f aca="false">J36*10</f>
        <v>25.99</v>
      </c>
      <c r="L36" s="105" t="n">
        <v>0.7921</v>
      </c>
      <c r="M36" s="118" t="n">
        <v>9</v>
      </c>
    </row>
    <row r="37" customFormat="false" ht="15" hidden="false" customHeight="false" outlineLevel="0" collapsed="false">
      <c r="A37" s="102" t="n">
        <v>8</v>
      </c>
      <c r="B37" s="103" t="n">
        <v>0.1285</v>
      </c>
      <c r="C37" s="104" t="n">
        <v>3.264</v>
      </c>
      <c r="D37" s="105" t="n">
        <v>0</v>
      </c>
      <c r="E37" s="106" t="n">
        <v>7.78</v>
      </c>
      <c r="F37" s="107" t="n">
        <v>3.06</v>
      </c>
      <c r="G37" s="108" t="n">
        <v>16.5</v>
      </c>
      <c r="H37" s="109" t="n">
        <f aca="false">I37/100</f>
        <v>0.0837</v>
      </c>
      <c r="I37" s="110" t="n">
        <v>8.37</v>
      </c>
      <c r="J37" s="111" t="n">
        <v>2.061</v>
      </c>
      <c r="K37" s="104" t="n">
        <f aca="false">J37*10</f>
        <v>20.61</v>
      </c>
      <c r="L37" s="105" t="n">
        <v>0.6282</v>
      </c>
      <c r="M37" s="112" t="n">
        <v>8</v>
      </c>
    </row>
    <row r="38" s="122" customFormat="true" ht="15" hidden="false" customHeight="false" outlineLevel="0" collapsed="false">
      <c r="A38" s="113" t="n">
        <v>7</v>
      </c>
      <c r="B38" s="103" t="n">
        <v>0.1443</v>
      </c>
      <c r="C38" s="114" t="n">
        <v>3.665</v>
      </c>
      <c r="D38" s="105" t="n">
        <v>0</v>
      </c>
      <c r="E38" s="115" t="n">
        <v>6.93</v>
      </c>
      <c r="F38" s="107" t="n">
        <v>2.73</v>
      </c>
      <c r="G38" s="116" t="n">
        <v>20.8</v>
      </c>
      <c r="H38" s="109" t="n">
        <f aca="false">I38/100</f>
        <v>0.105</v>
      </c>
      <c r="I38" s="117" t="n">
        <v>10.5</v>
      </c>
      <c r="J38" s="111" t="n">
        <v>1.634</v>
      </c>
      <c r="K38" s="114" t="n">
        <f aca="false">J38*10</f>
        <v>16.34</v>
      </c>
      <c r="L38" s="105" t="n">
        <v>0.4982</v>
      </c>
      <c r="M38" s="118" t="n">
        <v>7</v>
      </c>
    </row>
    <row r="39" customFormat="false" ht="15" hidden="false" customHeight="false" outlineLevel="0" collapsed="false">
      <c r="A39" s="102" t="n">
        <v>6</v>
      </c>
      <c r="B39" s="103" t="n">
        <v>0.162</v>
      </c>
      <c r="C39" s="104" t="n">
        <v>4.115</v>
      </c>
      <c r="D39" s="105" t="n">
        <v>0</v>
      </c>
      <c r="E39" s="106" t="n">
        <v>6.17</v>
      </c>
      <c r="F39" s="107" t="n">
        <v>2.43</v>
      </c>
      <c r="G39" s="108" t="n">
        <v>26.3</v>
      </c>
      <c r="H39" s="109" t="n">
        <f aca="false">I39/100</f>
        <v>0.133</v>
      </c>
      <c r="I39" s="110" t="n">
        <v>13.3</v>
      </c>
      <c r="J39" s="111" t="n">
        <v>1.296</v>
      </c>
      <c r="K39" s="104" t="n">
        <f aca="false">J39*10</f>
        <v>12.96</v>
      </c>
      <c r="L39" s="105" t="n">
        <v>0.3951</v>
      </c>
      <c r="M39" s="112" t="n">
        <v>6</v>
      </c>
    </row>
    <row r="40" s="122" customFormat="true" ht="15" hidden="false" customHeight="false" outlineLevel="0" collapsed="false">
      <c r="A40" s="113" t="n">
        <v>5</v>
      </c>
      <c r="B40" s="103" t="n">
        <v>0.1819</v>
      </c>
      <c r="C40" s="114" t="n">
        <v>4.621</v>
      </c>
      <c r="D40" s="105" t="n">
        <v>0</v>
      </c>
      <c r="E40" s="115" t="n">
        <v>5.5</v>
      </c>
      <c r="F40" s="107" t="n">
        <v>2.16</v>
      </c>
      <c r="G40" s="116" t="n">
        <v>33.1</v>
      </c>
      <c r="H40" s="109" t="n">
        <f aca="false">I40/100</f>
        <v>0.168</v>
      </c>
      <c r="I40" s="117" t="n">
        <v>16.8</v>
      </c>
      <c r="J40" s="111" t="n">
        <v>1.028</v>
      </c>
      <c r="K40" s="114" t="n">
        <f aca="false">J40*10</f>
        <v>10.28</v>
      </c>
      <c r="L40" s="105" t="n">
        <v>0.3133</v>
      </c>
      <c r="M40" s="118" t="n">
        <v>5</v>
      </c>
    </row>
    <row r="41" customFormat="false" ht="15" hidden="false" customHeight="false" outlineLevel="0" collapsed="false">
      <c r="A41" s="102" t="n">
        <v>4</v>
      </c>
      <c r="B41" s="103" t="n">
        <v>0.2043</v>
      </c>
      <c r="C41" s="104" t="n">
        <v>5.189</v>
      </c>
      <c r="D41" s="105" t="n">
        <v>0</v>
      </c>
      <c r="E41" s="106" t="n">
        <v>4.89</v>
      </c>
      <c r="F41" s="107" t="n">
        <v>1.93</v>
      </c>
      <c r="G41" s="108" t="n">
        <v>41.7</v>
      </c>
      <c r="H41" s="109" t="n">
        <f aca="false">I41/100</f>
        <v>0.212</v>
      </c>
      <c r="I41" s="110" t="n">
        <v>21.2</v>
      </c>
      <c r="J41" s="111" t="n">
        <v>0.8152</v>
      </c>
      <c r="K41" s="104" t="n">
        <f aca="false">J41*10</f>
        <v>8.152</v>
      </c>
      <c r="L41" s="105" t="n">
        <v>0.2485</v>
      </c>
      <c r="M41" s="112" t="n">
        <v>4</v>
      </c>
    </row>
    <row r="42" s="122" customFormat="true" ht="15" hidden="false" customHeight="false" outlineLevel="0" collapsed="false">
      <c r="A42" s="113" t="n">
        <v>3</v>
      </c>
      <c r="B42" s="103" t="n">
        <v>0.2294</v>
      </c>
      <c r="C42" s="114" t="n">
        <v>5.827</v>
      </c>
      <c r="D42" s="105" t="n">
        <v>0</v>
      </c>
      <c r="E42" s="115" t="n">
        <v>4.36</v>
      </c>
      <c r="F42" s="107" t="n">
        <v>1.72</v>
      </c>
      <c r="G42" s="116" t="n">
        <v>52.6</v>
      </c>
      <c r="H42" s="109" t="n">
        <f aca="false">I42/100</f>
        <v>0.267</v>
      </c>
      <c r="I42" s="117" t="n">
        <v>26.7</v>
      </c>
      <c r="J42" s="111" t="n">
        <v>0.6465</v>
      </c>
      <c r="K42" s="114" t="n">
        <f aca="false">J42*10</f>
        <v>6.465</v>
      </c>
      <c r="L42" s="105" t="n">
        <v>0.197</v>
      </c>
      <c r="M42" s="118" t="n">
        <v>3</v>
      </c>
    </row>
    <row r="43" customFormat="false" ht="15" hidden="false" customHeight="false" outlineLevel="0" collapsed="false">
      <c r="A43" s="102" t="n">
        <v>2</v>
      </c>
      <c r="B43" s="103" t="n">
        <v>0.2576</v>
      </c>
      <c r="C43" s="104" t="n">
        <v>6.544</v>
      </c>
      <c r="D43" s="105" t="n">
        <v>0</v>
      </c>
      <c r="E43" s="106" t="n">
        <v>3.88</v>
      </c>
      <c r="F43" s="107" t="n">
        <v>1.53</v>
      </c>
      <c r="G43" s="108" t="n">
        <v>66.4</v>
      </c>
      <c r="H43" s="109" t="n">
        <f aca="false">I43/100</f>
        <v>0.336</v>
      </c>
      <c r="I43" s="110" t="n">
        <v>33.6</v>
      </c>
      <c r="J43" s="111" t="n">
        <v>0.5127</v>
      </c>
      <c r="K43" s="104" t="n">
        <f aca="false">J43*10</f>
        <v>5.127</v>
      </c>
      <c r="L43" s="105" t="n">
        <v>0.1563</v>
      </c>
      <c r="M43" s="112" t="n">
        <v>2</v>
      </c>
    </row>
    <row r="44" s="122" customFormat="true" ht="15" hidden="false" customHeight="false" outlineLevel="0" collapsed="false">
      <c r="A44" s="113" t="n">
        <v>1</v>
      </c>
      <c r="B44" s="123" t="n">
        <v>0.2893</v>
      </c>
      <c r="C44" s="124" t="n">
        <v>7.348</v>
      </c>
      <c r="D44" s="125" t="n">
        <v>0</v>
      </c>
      <c r="E44" s="126" t="n">
        <v>3.46</v>
      </c>
      <c r="F44" s="127" t="n">
        <v>1.36</v>
      </c>
      <c r="G44" s="128" t="n">
        <v>83.7</v>
      </c>
      <c r="H44" s="129" t="n">
        <f aca="false">I44/100</f>
        <v>0.424</v>
      </c>
      <c r="I44" s="130" t="n">
        <v>42.4</v>
      </c>
      <c r="J44" s="131" t="n">
        <v>0.4066</v>
      </c>
      <c r="K44" s="124" t="n">
        <f aca="false">J44*10</f>
        <v>4.066</v>
      </c>
      <c r="L44" s="125" t="n">
        <v>0.1239</v>
      </c>
      <c r="M44" s="132" t="n">
        <v>1</v>
      </c>
    </row>
  </sheetData>
  <mergeCells count="17">
    <mergeCell ref="A1:A4"/>
    <mergeCell ref="B1:D2"/>
    <mergeCell ref="E1:F2"/>
    <mergeCell ref="G1:I2"/>
    <mergeCell ref="J1:L2"/>
    <mergeCell ref="M1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hyperlinks>
    <hyperlink ref="D3" r:id="rId2" display="With Insul&#10;(mm)"/>
    <hyperlink ref="G3" r:id="rId3" display="(kcmil)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8787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2020-01-09T10:14:07Z</dcterms:created>
  <dc:creator/>
  <dc:description/>
  <dc:language>en-US</dc:language>
  <cp:lastModifiedBy/>
  <dcterms:modified xsi:type="dcterms:W3CDTF">2020-03-08T15:01:27Z</dcterms:modified>
  <cp:revision>122</cp:revision>
  <dc:subject/>
  <dc:title/>
</cp:coreProperties>
</file>