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7.xml.rels" ContentType="application/vnd.openxmlformats-package.relationships+xml"/>
  <Override PartName="/xl/worksheets/_rels/sheet16.xml.rels" ContentType="application/vnd.openxmlformats-package.relationships+xml"/>
  <Override PartName="/xl/worksheets/_rels/sheet6.xml.rels" ContentType="application/vnd.openxmlformats-package.relationships+xml"/>
  <Override PartName="/xl/worksheets/_rels/sheet9.xml.rels" ContentType="application/vnd.openxmlformats-package.relationship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tif" ContentType="image/tiff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_rels/drawing4.xml.rels" ContentType="application/vnd.openxmlformats-package.relationships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vmlDrawing1.vml" ContentType="application/vnd.openxmlformats-officedocument.vmlDrawing"/>
  <Override PartName="/xl/comments1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sign" sheetId="1" state="visible" r:id="rId2"/>
    <sheet name="rm_build" sheetId="2" state="visible" r:id="rId3"/>
    <sheet name="pic16f1776_c" sheetId="3" state="visible" r:id="rId4"/>
    <sheet name="pic16f1776_b" sheetId="4" state="visible" r:id="rId5"/>
    <sheet name="btvals" sheetId="5" state="visible" r:id="rId6"/>
    <sheet name="pv_panels" sheetId="6" state="visible" r:id="rId7"/>
    <sheet name="v_slope" sheetId="7" state="visible" r:id="rId8"/>
    <sheet name="ct_toroid_wind" sheetId="8" state="visible" r:id="rId9"/>
    <sheet name="loop" sheetId="9" state="visible" r:id="rId10"/>
    <sheet name="switch" sheetId="10" state="visible" r:id="rId11"/>
    <sheet name="pvbb_flyback" sheetId="11" state="visible" r:id="rId12"/>
    <sheet name="fb_switch" sheetId="12" state="visible" r:id="rId13"/>
    <sheet name="thermal" sheetId="13" state="visible" r:id="rId14"/>
    <sheet name="pwr_rating" sheetId="14" state="visible" r:id="rId15"/>
    <sheet name="meas_eff" sheetId="15" state="visible" r:id="rId16"/>
    <sheet name="bom" sheetId="16" state="visible" r:id="rId17"/>
    <sheet name="wireawg" sheetId="17" state="visible" r:id="rId18"/>
  </sheets>
  <definedNames>
    <definedName function="false" hidden="true" localSheetId="15" name="_xlnm._FilterDatabase" vbProcedure="false">bom!$A$1:$I$160</definedName>
    <definedName function="false" hidden="false" localSheetId="15" name="timer_2_0_161105" vbProcedure="false">bom!$C$1:$J$138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1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3" authorId="0">
      <text>
        <r>
          <rPr>
            <b val="true"/>
            <sz val="9"/>
            <color rgb="FF000000"/>
            <rFont val="Calibri"/>
            <family val="2"/>
          </rPr>
          <t xml:space="preserve">Brian Cornell:
</t>
        </r>
      </text>
    </comment>
  </commentList>
</comments>
</file>

<file path=xl/sharedStrings.xml><?xml version="1.0" encoding="utf-8"?>
<sst xmlns="http://schemas.openxmlformats.org/spreadsheetml/2006/main" count="2556" uniqueCount="1310">
  <si>
    <t xml:space="preserve">Continuous Conduction SEPIC Topology for PV-based Charger</t>
  </si>
  <si>
    <t xml:space="preserve">*** Coupled Inductor Prototype ***</t>
  </si>
  <si>
    <t xml:space="preserve">Component</t>
  </si>
  <si>
    <t xml:space="preserve">Section</t>
  </si>
  <si>
    <t xml:space="preserve">Parameter</t>
  </si>
  <si>
    <t xml:space="preserve">Value</t>
  </si>
  <si>
    <t xml:space="preserve">Notes</t>
  </si>
  <si>
    <t xml:space="preserve">Part #</t>
  </si>
  <si>
    <t xml:space="preserve">Qty</t>
  </si>
  <si>
    <t xml:space="preserve">Description</t>
  </si>
  <si>
    <t xml:space="preserve">General Operating Parameters</t>
  </si>
  <si>
    <t xml:space="preserve">V_in(min)</t>
  </si>
  <si>
    <t xml:space="preserve">V_in(max)</t>
  </si>
  <si>
    <t xml:space="preserve">V_in(nom)</t>
  </si>
  <si>
    <t xml:space="preserve">Two Renogy RNG-270P-G1 panels in series</t>
  </si>
  <si>
    <t xml:space="preserve">V_out</t>
  </si>
  <si>
    <t xml:space="preserve">Stack of four 12V lead-acid batteries</t>
  </si>
  <si>
    <t xml:space="preserve">P_out</t>
  </si>
  <si>
    <t xml:space="preserve">I_out</t>
  </si>
  <si>
    <t xml:space="preserve">η</t>
  </si>
  <si>
    <t xml:space="preserve">P_in</t>
  </si>
  <si>
    <t xml:space="preserve">P_budget</t>
  </si>
  <si>
    <t xml:space="preserve">Power budget</t>
  </si>
  <si>
    <t xml:space="preserve">I_in(nom)</t>
  </si>
  <si>
    <t xml:space="preserve">Assumes PS is matched to PV panel’s maximum [constant] current</t>
  </si>
  <si>
    <t xml:space="preserve">I_T</t>
  </si>
  <si>
    <t xml:space="preserve">I_out + I_in(nom)</t>
  </si>
  <si>
    <t xml:space="preserve">F_s</t>
  </si>
  <si>
    <t xml:space="preserve">Switching frequency</t>
  </si>
  <si>
    <t xml:space="preserve">T_s</t>
  </si>
  <si>
    <t xml:space="preserve">Switching period</t>
  </si>
  <si>
    <t xml:space="preserve">V_f</t>
  </si>
  <si>
    <t xml:space="preserve">Rectifier forward voltage</t>
  </si>
  <si>
    <t xml:space="preserve">D_M</t>
  </si>
  <si>
    <t xml:space="preserve">Maximum duty cycle</t>
  </si>
  <si>
    <t xml:space="preserve">t_on_M</t>
  </si>
  <si>
    <t xml:space="preserve">Maximum on time</t>
  </si>
  <si>
    <t xml:space="preserve">D_m</t>
  </si>
  <si>
    <t xml:space="preserve">Minimum duty cycle</t>
  </si>
  <si>
    <t xml:space="preserve">t_on_m</t>
  </si>
  <si>
    <t xml:space="preserve">Minimum on-time</t>
  </si>
  <si>
    <t xml:space="preserve">D_n</t>
  </si>
  <si>
    <t xml:space="preserve">Nominal duty cycle</t>
  </si>
  <si>
    <t xml:space="preserve">t_on_n</t>
  </si>
  <si>
    <t xml:space="preserve">Nominal on-time</t>
  </si>
  <si>
    <t xml:space="preserve">Coupled
 Inductor</t>
  </si>
  <si>
    <t xml:space="preserve">I_L(r%)</t>
  </si>
  <si>
    <t xml:space="preserve">Inductor current ripple</t>
  </si>
  <si>
    <t xml:space="preserve">I_L(r)</t>
  </si>
  <si>
    <t xml:space="preserve">Maximum inductor ripple current, p-p</t>
  </si>
  <si>
    <t xml:space="preserve">I_Lrms(r)</t>
  </si>
  <si>
    <t xml:space="preserve">Maximum inductor ripple current, RMS</t>
  </si>
  <si>
    <t xml:space="preserve">P_out(m)</t>
  </si>
  <si>
    <t xml:space="preserve">Minimum output power for CCM based on I_L(r)</t>
  </si>
  <si>
    <t xml:space="preserve">L_(m)</t>
  </si>
  <si>
    <t xml:space="preserve">Minimum inductor value</t>
  </si>
  <si>
    <t xml:space="preserve">L_l(e)</t>
  </si>
  <si>
    <t xml:space="preserve">Estimated leakage inductance to set C_ac induced current ripple equal to magnetizing current</t>
  </si>
  <si>
    <t xml:space="preserve">I_Lp(a)</t>
  </si>
  <si>
    <t xml:space="preserve">Peak inductor current: I_in(nom) + ½ I_L(r)</t>
  </si>
  <si>
    <t xml:space="preserve">I_Lp(b)</t>
  </si>
  <si>
    <t xml:space="preserve">Peak inductor current: I_out + ½ I_L(r)</t>
  </si>
  <si>
    <t xml:space="preserve">I_t</t>
  </si>
  <si>
    <t xml:space="preserve">Peak total inductor current:  I_Lp(a) + I_Lp(b)</t>
  </si>
  <si>
    <t xml:space="preserve">I_Lrms(a)</t>
  </si>
  <si>
    <t xml:space="preserve">RMS inductor current: I_in(nom) + I_Lrms(r)</t>
  </si>
  <si>
    <t xml:space="preserve">I_Lrms(b)</t>
  </si>
  <si>
    <t xml:space="preserve">RMS inductor current: I_out + I_Lrms(r)</t>
  </si>
  <si>
    <t xml:space="preserve">I_t_rms</t>
  </si>
  <si>
    <t xml:space="preserve">RMS total inductor current:  I_Lrms(a) + I_Lrms(b)</t>
  </si>
  <si>
    <t xml:space="preserve">I_L(sat_m%)</t>
  </si>
  <si>
    <t xml:space="preserve">Inductor saturation margin</t>
  </si>
  <si>
    <t xml:space="preserve">I_L(sat)</t>
  </si>
  <si>
    <t xml:space="preserve">Inductor saturation current requirement</t>
  </si>
  <si>
    <t xml:space="preserve">RM Core Winding Estimator
Build: bobbin:L2:L1
(steers ripple to L2)</t>
  </si>
  <si>
    <t xml:space="preserve">N</t>
  </si>
  <si>
    <t xml:space="preserve">Number of turns from Titan design SW, accounts for fringing flux</t>
  </si>
  <si>
    <t xml:space="preserve">N_s</t>
  </si>
  <si>
    <t xml:space="preserve">Number of strands</t>
  </si>
  <si>
    <t xml:space="preserve">N_awg</t>
  </si>
  <si>
    <t xml:space="preserve">Wire AWG</t>
  </si>
  <si>
    <t xml:space="preserve">N_d, cm</t>
  </si>
  <si>
    <t xml:space="preserve">Wire diameter</t>
  </si>
  <si>
    <t xml:space="preserve">MLT, cm</t>
  </si>
  <si>
    <t xml:space="preserve">Mean Length Turn</t>
  </si>
  <si>
    <t xml:space="preserve">A_L, H</t>
  </si>
  <si>
    <t xml:space="preserve">nH*N^2</t>
  </si>
  <si>
    <t xml:space="preserve">a, cm</t>
  </si>
  <si>
    <t xml:space="preserve">Length of windings (e.g. bobbin winding length)</t>
  </si>
  <si>
    <t xml:space="preserve">N_len</t>
  </si>
  <si>
    <t xml:space="preserve">Total winding length</t>
  </si>
  <si>
    <t xml:space="preserve">N_t</t>
  </si>
  <si>
    <t xml:space="preserve">Turns per layer</t>
  </si>
  <si>
    <t xml:space="preserve">N_l</t>
  </si>
  <si>
    <t xml:space="preserve">Layers per winding</t>
  </si>
  <si>
    <t xml:space="preserve">b, cm</t>
  </si>
  <si>
    <t xml:space="preserve">Thickness of winding build</t>
  </si>
  <si>
    <t xml:space="preserve">c_t, cm</t>
  </si>
  <si>
    <t xml:space="preserve">Thickness of insulation (tape) used between windings</t>
  </si>
  <si>
    <t xml:space="preserve">c_n</t>
  </si>
  <si>
    <t xml:space="preserve">Number of layers of insulation</t>
  </si>
  <si>
    <t xml:space="preserve">c, cm</t>
  </si>
  <si>
    <t xml:space="preserve">Tickness of insulation layer</t>
  </si>
  <si>
    <t xml:space="preserve">L_c</t>
  </si>
  <si>
    <t xml:space="preserve">Calculated winding inductance</t>
  </si>
  <si>
    <t xml:space="preserve">L_l</t>
  </si>
  <si>
    <t xml:space="preserve">Estimated winding leakage inductance</t>
  </si>
  <si>
    <t xml:space="preserve">L_r</t>
  </si>
  <si>
    <t xml:space="preserve">Ratio L_l to L_(m)</t>
  </si>
  <si>
    <t xml:space="preserve">b_T, cm</t>
  </si>
  <si>
    <t xml:space="preserve">Total thickness of winding &amp; insulation build</t>
  </si>
  <si>
    <t xml:space="preserve">L_l(Z)</t>
  </si>
  <si>
    <t xml:space="preserve">Leakage inductance impedance @ switching frequency, F</t>
  </si>
  <si>
    <t xml:space="preserve">I_l(z)</t>
  </si>
  <si>
    <t xml:space="preserve">C_ac(s) ripple current with L_l(z) impedance</t>
  </si>
  <si>
    <t xml:space="preserve">AC Coupling Capacitor and Damping Network</t>
  </si>
  <si>
    <t xml:space="preserve">I_Lp(a%)</t>
  </si>
  <si>
    <t xml:space="preserve">Primary inductor current limit margin (e.g. current limit engages)</t>
  </si>
  <si>
    <t xml:space="preserve">I_Lp(a_M)</t>
  </si>
  <si>
    <t xml:space="preserve">Maximum allowed current thru primary inductor</t>
  </si>
  <si>
    <t xml:space="preserve">V_ac(p)</t>
  </si>
  <si>
    <t xml:space="preserve">Voltage margin to maintain coupling capacitor polarity</t>
  </si>
  <si>
    <t xml:space="preserve">C_ac(m)</t>
  </si>
  <si>
    <t xml:space="preserve">Minimum coupling capacitor value</t>
  </si>
  <si>
    <t xml:space="preserve">C_ac(s)</t>
  </si>
  <si>
    <t xml:space="preserve">Selected coupling capacitor value</t>
  </si>
  <si>
    <t xml:space="preserve">1.5u</t>
  </si>
  <si>
    <t xml:space="preserve">399-20889-ND</t>
  </si>
  <si>
    <t xml:space="preserve">1.5µF Film Capacitor 90V 160V Polyester, Polyethylene Terephthalate (PET), Metallized Radial</t>
  </si>
  <si>
    <t xml:space="preserve">V_ac_max(pp)</t>
  </si>
  <si>
    <t xml:space="preserve">Maximum ripple voltage across selected coupling capacitor @ D_n, p-p</t>
  </si>
  <si>
    <t xml:space="preserve">V_ac_max(rms)</t>
  </si>
  <si>
    <t xml:space="preserve">Maximum ripple voltage across selected coupling capacitor @ D_n, rms</t>
  </si>
  <si>
    <t xml:space="preserve">V_C_ac(m)</t>
  </si>
  <si>
    <t xml:space="preserve">Minimum voltage rating for selected coupling capacitor</t>
  </si>
  <si>
    <t xml:space="preserve">V_ac_M(pp)</t>
  </si>
  <si>
    <t xml:space="preserve">Ripple voltage across selected coupling capacitor @ D_M, p-p</t>
  </si>
  <si>
    <t xml:space="preserve">I_C_ac(rms)</t>
  </si>
  <si>
    <t xml:space="preserve">Minimum RMS current rating for selected coupling capacitor</t>
  </si>
  <si>
    <t xml:space="preserve">F_r(ac)</t>
  </si>
  <si>
    <t xml:space="preserve">Resonant frequency of C_ac(s) and L_l</t>
  </si>
  <si>
    <t xml:space="preserve">X_r(ac)</t>
  </si>
  <si>
    <t xml:space="preserve">Impedance of C_ac(s) @ F_r(ac)</t>
  </si>
  <si>
    <t xml:space="preserve">Rd_ac(i)</t>
  </si>
  <si>
    <t xml:space="preserve">Ideal damping resistor</t>
  </si>
  <si>
    <t xml:space="preserve">Cd_ac(i)</t>
  </si>
  <si>
    <t xml:space="preserve">Ideal damping capacitor</t>
  </si>
  <si>
    <t xml:space="preserve">Rd_ac(s)</t>
  </si>
  <si>
    <t xml:space="preserve">Selected damping resistor</t>
  </si>
  <si>
    <t xml:space="preserve">A143377CT-ND</t>
  </si>
  <si>
    <t xml:space="preserve">1 Ohms ±1% 4W Chip Resistor Nonstandard  Thick Film</t>
  </si>
  <si>
    <t xml:space="preserve">Cd_ac(s)</t>
  </si>
  <si>
    <t xml:space="preserve">Selected damping capacitor</t>
  </si>
  <si>
    <t xml:space="preserve">Xd_r(ac)</t>
  </si>
  <si>
    <t xml:space="preserve">Damping network impedance @ F_r(ac)</t>
  </si>
  <si>
    <t xml:space="preserve">Rtd_r(ac)</t>
  </si>
  <si>
    <t xml:space="preserve">Damping ratio @ F_r(ac)</t>
  </si>
  <si>
    <t xml:space="preserve">Xd_F(ac)</t>
  </si>
  <si>
    <t xml:space="preserve">Damping network impedance @ switching frequency F</t>
  </si>
  <si>
    <t xml:space="preserve">Xc_F(ac)</t>
  </si>
  <si>
    <t xml:space="preserve">Impedance of C_ac(s) @ switching frequency F</t>
  </si>
  <si>
    <t xml:space="preserve">RT_Xd_Xc_F(ac)</t>
  </si>
  <si>
    <t xml:space="preserve">Ratio of damping network / C_ac(s) impedance @ switching frequency F</t>
  </si>
  <si>
    <t xml:space="preserve">P_Rd(ac)</t>
  </si>
  <si>
    <t xml:space="preserve">Dissipation of Rd_ac(s) @ V_in(nom) &amp; P_out</t>
  </si>
  <si>
    <t xml:space="preserve">Power Distribution Wiring
 Inductance &amp; Input
 Capacitor Sizing</t>
  </si>
  <si>
    <t xml:space="preserve">Length, cm</t>
  </si>
  <si>
    <t xml:space="preserve">Length from PV panels to power supply</t>
  </si>
  <si>
    <t xml:space="preserve">Spacing, cm</t>
  </si>
  <si>
    <t xml:space="preserve">The average distance between the individual wires in the pair</t>
  </si>
  <si>
    <t xml:space="preserve">Gauge, AWG</t>
  </si>
  <si>
    <t xml:space="preserve">Distribution wiring gauge</t>
  </si>
  <si>
    <t xml:space="preserve">Diameter, cm</t>
  </si>
  <si>
    <t xml:space="preserve">Diameter of selected wire gauge</t>
  </si>
  <si>
    <t xml:space="preserve">L_pd</t>
  </si>
  <si>
    <t xml:space="preserve">Approximate inductance of distribution wiring</t>
  </si>
  <si>
    <t xml:space="preserve">V_pd</t>
  </si>
  <si>
    <t xml:space="preserve">Maximum allowed noise on distribution wiring</t>
  </si>
  <si>
    <t xml:space="preserve">V_pd%</t>
  </si>
  <si>
    <t xml:space="preserve">Noise derating in percent</t>
  </si>
  <si>
    <t xml:space="preserve">V_pd(m)</t>
  </si>
  <si>
    <t xml:space="preserve">Permissible noise margin</t>
  </si>
  <si>
    <t xml:space="preserve">X_pd</t>
  </si>
  <si>
    <t xml:space="preserve">Permissible common path impedance</t>
  </si>
  <si>
    <t xml:space="preserve">F_pd</t>
  </si>
  <si>
    <t xml:space="preserve">Distribution wiring knee frequency</t>
  </si>
  <si>
    <t xml:space="preserve">C_in(m)</t>
  </si>
  <si>
    <t xml:space="preserve">Minimum input capacitor value to meet V_pd</t>
  </si>
  <si>
    <t xml:space="preserve">330u</t>
  </si>
  <si>
    <t xml:space="preserve">565-3493-ND</t>
  </si>
  <si>
    <t xml:space="preserve">330µF 160V Aluminum Electrolytic Capacitors Radial, Can  12000 Hrs @ 105°C</t>
  </si>
  <si>
    <t xml:space="preserve">I_c(in_rms)</t>
  </si>
  <si>
    <t xml:space="preserve">Input capacitor minimum RMS current rating</t>
  </si>
  <si>
    <t xml:space="preserve">2.9A ripple current @ 100kHz</t>
  </si>
  <si>
    <t xml:space="preserve">Output
 Capacitor
 Sizing</t>
  </si>
  <si>
    <t xml:space="preserve">V_out(rd)</t>
  </si>
  <si>
    <t xml:space="preserve">Desired maximum output voltage ripple</t>
  </si>
  <si>
    <t xml:space="preserve">C_out(m)</t>
  </si>
  <si>
    <t xml:space="preserve">Minimum output capacitor value to meet V_out(rd) with no ESR</t>
  </si>
  <si>
    <t xml:space="preserve">C_out(s)</t>
  </si>
  <si>
    <t xml:space="preserve">Selected output capacitor value</t>
  </si>
  <si>
    <t xml:space="preserve">220u</t>
  </si>
  <si>
    <t xml:space="preserve">493-17776-ND</t>
  </si>
  <si>
    <t xml:space="preserve">220µF 100V Aluminum Electrolytic Capacitors Radial, Can 54mOhm @ 100kHz 3000 Hrs @ 135°C</t>
  </si>
  <si>
    <t xml:space="preserve">ESR_C(out)</t>
  </si>
  <si>
    <t xml:space="preserve">Selected output capacitor ESR</t>
  </si>
  <si>
    <t xml:space="preserve">2.52A ripple current @ 100kHz</t>
  </si>
  <si>
    <t xml:space="preserve">V_out(rs)</t>
  </si>
  <si>
    <t xml:space="preserve">Maximum output voltage ripple with C_out(s)</t>
  </si>
  <si>
    <t xml:space="preserve">I_rms(c_out)</t>
  </si>
  <si>
    <t xml:space="preserve">C_out RMS current @ P_out and V_in(nom)</t>
  </si>
  <si>
    <t xml:space="preserve">Node</t>
  </si>
  <si>
    <t xml:space="preserve">RM12 Bobbin</t>
  </si>
  <si>
    <t xml:space="preserve">L2</t>
  </si>
  <si>
    <t xml:space="preserve">L1</t>
  </si>
  <si>
    <t xml:space="preserve">C_ac_-</t>
  </si>
  <si>
    <t xml:space="preserve">C_ac_+</t>
  </si>
  <si>
    <t xml:space="preserve">nc</t>
  </si>
  <si>
    <t xml:space="preserve">GNDPWR</t>
  </si>
  <si>
    <t xml:space="preserve">DC_IN</t>
  </si>
  <si>
    <t xml:space="preserve">Winding Instructions</t>
  </si>
  <si>
    <t xml:space="preserve">Layer</t>
  </si>
  <si>
    <t xml:space="preserve">Winding</t>
  </si>
  <si>
    <t xml:space="preserve">Strands</t>
  </si>
  <si>
    <t xml:space="preserve">AWG</t>
  </si>
  <si>
    <t xml:space="preserve">Turns</t>
  </si>
  <si>
    <t xml:space="preserve">Details</t>
  </si>
  <si>
    <t xml:space="preserve">First layer of L2 winding. Connect to pins 11 &amp; 12, wind CCW from base to top of bobbin.</t>
  </si>
  <si>
    <t xml:space="preserve">N/A</t>
  </si>
  <si>
    <t xml:space="preserve">One turn of polyimide 3mil 3M 1205 tape, ½” wide.</t>
  </si>
  <si>
    <t xml:space="preserve">Second layer of L2 winding. Terminate to pins 7 &amp; 8, wind CCW. No foldback: wind from top of bobbin back to base.</t>
  </si>
  <si>
    <t xml:space="preserve">Leakage L</t>
  </si>
  <si>
    <t xml:space="preserve">25 turns of polyimide 3mil 3M 1205 tape, ½” wide, with one edge aligned to top of bobbin. Fill gap at base with ¼” or 1/8” wide 3M 1205 polyimide tape.</t>
  </si>
  <si>
    <t xml:space="preserve">First layer of L1 winding. Connect to pins 1 &amp; 2, wind CCW from base to top of bobbin.</t>
  </si>
  <si>
    <t xml:space="preserve">Second layer of L1 winding. Terminate to pins 5 &amp; 6, wind CCW. No foldback: wind from top of bobbin back to base.</t>
  </si>
  <si>
    <t xml:space="preserve">1~2</t>
  </si>
  <si>
    <t xml:space="preserve">A few turns of polyimide 3mil 3M 1205 tape, ½” wide to secure winding.</t>
  </si>
  <si>
    <t xml:space="preserve">Characterization Data</t>
  </si>
  <si>
    <t xml:space="preserve">Inductance</t>
  </si>
  <si>
    <t xml:space="preserve">Vin</t>
  </si>
  <si>
    <t xml:space="preserve">Ton</t>
  </si>
  <si>
    <t xml:space="preserve">Amperes</t>
  </si>
  <si>
    <t xml:space="preserve">L</t>
  </si>
  <si>
    <t xml:space="preserve">Leakage</t>
  </si>
  <si>
    <t xml:space="preserve">L1-&gt;L2</t>
  </si>
  <si>
    <t xml:space="preserve">Volts</t>
  </si>
  <si>
    <t xml:space="preserve">Parasitic C</t>
  </si>
  <si>
    <t xml:space="preserve">Fr</t>
  </si>
  <si>
    <t xml:space="preserve">Cp</t>
  </si>
  <si>
    <t xml:space="preserve">L2-&gt;L1</t>
  </si>
  <si>
    <t xml:space="preserve">16-bit PWM Timing</t>
  </si>
  <si>
    <t xml:space="preserve">Timer 0</t>
  </si>
  <si>
    <t xml:space="preserve">ADC Conversion Timing</t>
  </si>
  <si>
    <t xml:space="preserve">ADC Scaling</t>
  </si>
  <si>
    <t xml:space="preserve">Pin Map</t>
  </si>
  <si>
    <t xml:space="preserve">Pin Assignments</t>
  </si>
  <si>
    <t xml:space="preserve">Timing Measurements</t>
  </si>
  <si>
    <t xml:space="preserve">Fosc (HFINTOSC)</t>
  </si>
  <si>
    <t xml:space="preserve">Clock speed</t>
  </si>
  <si>
    <t xml:space="preserve">Conversion Clock Speed</t>
  </si>
  <si>
    <t xml:space="preserve">Vref</t>
  </si>
  <si>
    <t xml:space="preserve">Pin</t>
  </si>
  <si>
    <t xml:space="preserve">Port</t>
  </si>
  <si>
    <t xml:space="preserve">Channel</t>
  </si>
  <si>
    <t xml:space="preserve">1=in,0=out</t>
  </si>
  <si>
    <t xml:space="preserve">1=A,0=D</t>
  </si>
  <si>
    <t xml:space="preserve">Peripheral/Pin</t>
  </si>
  <si>
    <t xml:space="preserve">Fct. / Net Name</t>
  </si>
  <si>
    <t xml:space="preserve">Peripheral</t>
  </si>
  <si>
    <t xml:space="preserve">Function</t>
  </si>
  <si>
    <t xml:space="preserve">Date</t>
  </si>
  <si>
    <t xml:space="preserve">Version</t>
  </si>
  <si>
    <t xml:space="preserve">Build</t>
  </si>
  <si>
    <t xml:space="preserve">RUN State</t>
  </si>
  <si>
    <t xml:space="preserve">Console Y/N</t>
  </si>
  <si>
    <t xml:space="preserve">Shortest Obs</t>
  </si>
  <si>
    <t xml:space="preserve">Unit</t>
  </si>
  <si>
    <t xml:space="preserve">Longest Obs</t>
  </si>
  <si>
    <t xml:space="preserve">Tosc</t>
  </si>
  <si>
    <t xml:space="preserve">Prescaler (1:?)</t>
  </si>
  <si>
    <t xml:space="preserve">Tad Cycles Required</t>
  </si>
  <si>
    <t xml:space="preserve">mV / increment (meas)</t>
  </si>
  <si>
    <t xml:space="preserve">RE3</t>
  </si>
  <si>
    <t xml:space="preserve">-</t>
  </si>
  <si>
    <t xml:space="preserve">Vpp</t>
  </si>
  <si>
    <t xml:space="preserve">PRG1</t>
  </si>
  <si>
    <t xml:space="preserve">Converter 1 slope compensation</t>
  </si>
  <si>
    <t xml:space="preserve">IDLE</t>
  </si>
  <si>
    <t xml:space="preserve">mS</t>
  </si>
  <si>
    <t xml:space="preserve">Longest d/t averaging of samples</t>
  </si>
  <si>
    <t xml:space="preserve">Ficlk</t>
  </si>
  <si>
    <t xml:space="preserve">Speed (Hz)</t>
  </si>
  <si>
    <t xml:space="preserve">ADC Conversion Time</t>
  </si>
  <si>
    <t xml:space="preserve">Measured V</t>
  </si>
  <si>
    <t xml:space="preserve">RA0</t>
  </si>
  <si>
    <t xml:space="preserve">AN0</t>
  </si>
  <si>
    <t xml:space="preserve">ADC</t>
  </si>
  <si>
    <t xml:space="preserve">TEMP_ADC_2</t>
  </si>
  <si>
    <t xml:space="preserve">PRG2</t>
  </si>
  <si>
    <t xml:space="preserve">Converter 2 slope compensation</t>
  </si>
  <si>
    <t xml:space="preserve">Y</t>
  </si>
  <si>
    <t xml:space="preserve">Longer than during RUN b/c MPP executing &amp; not captured</t>
  </si>
  <si>
    <t xml:space="preserve">Ticlk</t>
  </si>
  <si>
    <t xml:space="preserve">Period (uS)</t>
  </si>
  <si>
    <t xml:space="preserve">ADC value, H/D</t>
  </si>
  <si>
    <t xml:space="preserve">RA1</t>
  </si>
  <si>
    <t xml:space="preserve">AN1</t>
  </si>
  <si>
    <t xml:space="preserve">OV_SENSE_ADC</t>
  </si>
  <si>
    <t xml:space="preserve">PRG3</t>
  </si>
  <si>
    <t xml:space="preserve">RUN</t>
  </si>
  <si>
    <t xml:space="preserve">Instructions / pwm period</t>
  </si>
  <si>
    <t xml:space="preserve">Full Scale Time</t>
  </si>
  <si>
    <t xml:space="preserve">Tamp, amplifier settling time</t>
  </si>
  <si>
    <t xml:space="preserve">RA2</t>
  </si>
  <si>
    <t xml:space="preserve">AN2</t>
  </si>
  <si>
    <t xml:space="preserve">OC_SENSE_ADC</t>
  </si>
  <si>
    <t xml:space="preserve">Various analog pins</t>
  </si>
  <si>
    <t xml:space="preserve">uS</t>
  </si>
  <si>
    <t xml:space="preserve">n/a</t>
  </si>
  <si>
    <t xml:space="preserve">Measure time for individual call to ReadVoltage summing</t>
  </si>
  <si>
    <t xml:space="preserve">PWM5PR, period, (hex word)</t>
  </si>
  <si>
    <t xml:space="preserve">6a</t>
  </si>
  <si>
    <t xml:space="preserve">Freq (Hz)</t>
  </si>
  <si>
    <t xml:space="preserve">Rs, source impedance</t>
  </si>
  <si>
    <t xml:space="preserve">RA3</t>
  </si>
  <si>
    <t xml:space="preserve">AN3</t>
  </si>
  <si>
    <t xml:space="preserve">VREF_ADC</t>
  </si>
  <si>
    <t xml:space="preserve">Precision 5V reference for max ADC/DAC range</t>
  </si>
  <si>
    <t xml:space="preserve">DAC1-10b</t>
  </si>
  <si>
    <t xml:space="preserve">Vref for output voltage control loop</t>
  </si>
  <si>
    <t xml:space="preserve">Measure time for individual call to ReadVoltage single measurement</t>
  </si>
  <si>
    <t xml:space="preserve">PWM5PR, period, (decimal)</t>
  </si>
  <si>
    <t xml:space="preserve">Ambient temperature, C</t>
  </si>
  <si>
    <t xml:space="preserve">RA4</t>
  </si>
  <si>
    <t xml:space="preserve">LED_STATUS</t>
  </si>
  <si>
    <t xml:space="preserve">Logic 1=fault, 0=run</t>
  </si>
  <si>
    <t xml:space="preserve">DAC2-10b</t>
  </si>
  <si>
    <t xml:space="preserve">Current limit for both converters</t>
  </si>
  <si>
    <t xml:space="preserve">Short=measure time for data collection block w/o COG &amp; OVC avg, long=with avg.</t>
  </si>
  <si>
    <t xml:space="preserve">PWM5DC, duty cycle (hex word)</t>
  </si>
  <si>
    <t xml:space="preserve">5b</t>
  </si>
  <si>
    <t xml:space="preserve">Timer 1/3/5</t>
  </si>
  <si>
    <t xml:space="preserve">Tc, hold capacitor charge time</t>
  </si>
  <si>
    <t xml:space="preserve">5-bit DAC Output Voltage</t>
  </si>
  <si>
    <t xml:space="preserve">RA5</t>
  </si>
  <si>
    <t xml:space="preserve">AN4</t>
  </si>
  <si>
    <t xml:space="preserve">IV_SENSE_ADC</t>
  </si>
  <si>
    <t xml:space="preserve">Needed for MPPT</t>
  </si>
  <si>
    <t xml:space="preserve">DAC5-10b</t>
  </si>
  <si>
    <t xml:space="preserve">Measure time for COG &amp; OVC</t>
  </si>
  <si>
    <t xml:space="preserve">PWM5DC, duty cycle (decimal)</t>
  </si>
  <si>
    <t xml:space="preserve">Tcoff, temperature coefficient</t>
  </si>
  <si>
    <t xml:space="preserve">V+</t>
  </si>
  <si>
    <t xml:space="preserve">Vss</t>
  </si>
  <si>
    <t xml:space="preserve">DAC3-5b</t>
  </si>
  <si>
    <t xml:space="preserve">Vdd measurement</t>
  </si>
  <si>
    <t xml:space="preserve">PWM5PH, phase (hex word)</t>
  </si>
  <si>
    <t xml:space="preserve">0</t>
  </si>
  <si>
    <t xml:space="preserve">Tacq, Acqusition Time</t>
  </si>
  <si>
    <r>
      <rPr>
        <b val="true"/>
        <sz val="10"/>
        <color rgb="FF000000"/>
        <rFont val="Arial"/>
        <family val="2"/>
      </rPr>
      <t xml:space="preserve">DACCON</t>
    </r>
    <r>
      <rPr>
        <b val="true"/>
        <vertAlign val="subscript"/>
        <sz val="10"/>
        <color rgb="FF000000"/>
        <rFont val="Arial"/>
        <family val="2"/>
      </rPr>
      <t xml:space="preserve">10</t>
    </r>
  </si>
  <si>
    <t xml:space="preserve">RA7</t>
  </si>
  <si>
    <t xml:space="preserve">PWM5_OUT</t>
  </si>
  <si>
    <t xml:space="preserve">PRG1, COG1</t>
  </si>
  <si>
    <t xml:space="preserve">Rising &amp; falling events</t>
  </si>
  <si>
    <t xml:space="preserve">DAC4-5b</t>
  </si>
  <si>
    <t xml:space="preserve">Prescale</t>
  </si>
  <si>
    <r>
      <rPr>
        <b val="true"/>
        <sz val="10"/>
        <color rgb="FF000000"/>
        <rFont val="Arial"/>
        <family val="2"/>
      </rPr>
      <t xml:space="preserve">DAC1CON</t>
    </r>
    <r>
      <rPr>
        <b val="true"/>
        <vertAlign val="subscript"/>
        <sz val="10"/>
        <color rgb="FF000000"/>
        <rFont val="Arial"/>
        <family val="2"/>
      </rPr>
      <t xml:space="preserve">16</t>
    </r>
  </si>
  <si>
    <t xml:space="preserve">RA6</t>
  </si>
  <si>
    <t xml:space="preserve">PWM6_OUT</t>
  </si>
  <si>
    <t xml:space="preserve">PRG2, COG2</t>
  </si>
  <si>
    <t xml:space="preserve">DAC7-5b</t>
  </si>
  <si>
    <t xml:space="preserve">Cycle adjustment factor</t>
  </si>
  <si>
    <t xml:space="preserve">Total conversion time</t>
  </si>
  <si>
    <t xml:space="preserve">Vout</t>
  </si>
  <si>
    <t xml:space="preserve">RC0</t>
  </si>
  <si>
    <t xml:space="preserve">COG2B</t>
  </si>
  <si>
    <t xml:space="preserve">SYNC_2</t>
  </si>
  <si>
    <t xml:space="preserve">C1</t>
  </si>
  <si>
    <t xml:space="preserve">PWM period</t>
  </si>
  <si>
    <t xml:space="preserve">RC1</t>
  </si>
  <si>
    <t xml:space="preserve">COG2A</t>
  </si>
  <si>
    <t xml:space="preserve">GATE_2, T3G</t>
  </si>
  <si>
    <t xml:space="preserve">Timer3 gate used as input for DC measurement</t>
  </si>
  <si>
    <t xml:space="preserve">C2</t>
  </si>
  <si>
    <t xml:space="preserve">Converter 1 current limit</t>
  </si>
  <si>
    <t xml:space="preserve">PWM frequency</t>
  </si>
  <si>
    <t xml:space="preserve">RC2</t>
  </si>
  <si>
    <t xml:space="preserve">AN14</t>
  </si>
  <si>
    <t xml:space="preserve">IC_SENSE_ADC</t>
  </si>
  <si>
    <t xml:space="preserve">C3</t>
  </si>
  <si>
    <t xml:space="preserve">Duty cycle ratio</t>
  </si>
  <si>
    <t xml:space="preserve">MCP9700A Ratiometric Temp Sensor</t>
  </si>
  <si>
    <t xml:space="preserve">10-bit DAC Output Voltage</t>
  </si>
  <si>
    <t xml:space="preserve">RC3</t>
  </si>
  <si>
    <t xml:space="preserve">AN15</t>
  </si>
  <si>
    <t xml:space="preserve">C3IN4-, C4IN4-</t>
  </si>
  <si>
    <t xml:space="preserve">I_SENSE_2</t>
  </si>
  <si>
    <t xml:space="preserve">Slope comp &amp; over-current sense</t>
  </si>
  <si>
    <t xml:space="preserve">C4</t>
  </si>
  <si>
    <t xml:space="preserve">Converter 2 current limit</t>
  </si>
  <si>
    <t xml:space="preserve">Desired duty cycle ratio, %</t>
  </si>
  <si>
    <t xml:space="preserve">Timer 2/4/6</t>
  </si>
  <si>
    <r>
      <rPr>
        <sz val="12"/>
        <color rgb="FF000000"/>
        <rFont val="Calibri"/>
        <family val="2"/>
      </rPr>
      <t xml:space="preserve">Ambient / Sensor Temp, T</t>
    </r>
    <r>
      <rPr>
        <vertAlign val="subscript"/>
        <sz val="12"/>
        <color rgb="FF000000"/>
        <rFont val="Calibri"/>
        <family val="2"/>
      </rPr>
      <t xml:space="preserve">A</t>
    </r>
  </si>
  <si>
    <t xml:space="preserve">RC4</t>
  </si>
  <si>
    <t xml:space="preserve">AN16</t>
  </si>
  <si>
    <t xml:space="preserve">MSSP</t>
  </si>
  <si>
    <t xml:space="preserve">SDA</t>
  </si>
  <si>
    <t xml:space="preserve">I2C to charge balancer</t>
  </si>
  <si>
    <t xml:space="preserve">C5</t>
  </si>
  <si>
    <t xml:space="preserve">PWM5DC value</t>
  </si>
  <si>
    <r>
      <rPr>
        <sz val="12"/>
        <color rgb="FF000000"/>
        <rFont val="Calibri"/>
        <family val="2"/>
      </rPr>
      <t xml:space="preserve">Temperature Coefficient, T</t>
    </r>
    <r>
      <rPr>
        <vertAlign val="subscript"/>
        <sz val="12"/>
        <color rgb="FF000000"/>
        <rFont val="Calibri"/>
        <family val="2"/>
      </rPr>
      <t xml:space="preserve">C</t>
    </r>
  </si>
  <si>
    <r>
      <rPr>
        <b val="true"/>
        <sz val="10"/>
        <color rgb="FF000000"/>
        <rFont val="Arial"/>
        <family val="2"/>
      </rPr>
      <t xml:space="preserve">DAC1CON</t>
    </r>
    <r>
      <rPr>
        <b val="true"/>
        <vertAlign val="subscript"/>
        <sz val="10"/>
        <color rgb="FF000000"/>
        <rFont val="Arial"/>
        <family val="2"/>
      </rPr>
      <t xml:space="preserve">10</t>
    </r>
  </si>
  <si>
    <t xml:space="preserve">RC5</t>
  </si>
  <si>
    <t xml:space="preserve">AN17</t>
  </si>
  <si>
    <t xml:space="preserve">SDC</t>
  </si>
  <si>
    <t xml:space="preserve">C6</t>
  </si>
  <si>
    <t xml:space="preserve">Desired PWM frequency</t>
  </si>
  <si>
    <r>
      <rPr>
        <sz val="12"/>
        <color rgb="FF000000"/>
        <rFont val="Calibri"/>
        <family val="2"/>
      </rPr>
      <t xml:space="preserve">Sensor output @ 0C, V</t>
    </r>
    <r>
      <rPr>
        <vertAlign val="subscript"/>
        <sz val="12"/>
        <color rgb="FF000000"/>
        <rFont val="Calibri"/>
        <family val="2"/>
      </rPr>
      <t xml:space="preserve">0C</t>
    </r>
  </si>
  <si>
    <t xml:space="preserve">RC6</t>
  </si>
  <si>
    <t xml:space="preserve">AN18</t>
  </si>
  <si>
    <t xml:space="preserve">BBV_SENSE_ADC</t>
  </si>
  <si>
    <t xml:space="preserve">Balance bus battery voltage sense</t>
  </si>
  <si>
    <t xml:space="preserve">OPA1</t>
  </si>
  <si>
    <t xml:space="preserve">Desired PWM period</t>
  </si>
  <si>
    <r>
      <rPr>
        <sz val="12"/>
        <color rgb="FF000000"/>
        <rFont val="Calibri"/>
        <family val="2"/>
      </rPr>
      <t xml:space="preserve">Sensor output, V</t>
    </r>
    <r>
      <rPr>
        <vertAlign val="subscript"/>
        <sz val="12"/>
        <color rgb="FF000000"/>
        <rFont val="Calibri"/>
        <family val="2"/>
      </rPr>
      <t xml:space="preserve">OUT</t>
    </r>
  </si>
  <si>
    <t xml:space="preserve">RC7</t>
  </si>
  <si>
    <t xml:space="preserve">AN19</t>
  </si>
  <si>
    <t xml:space="preserve">COG1A</t>
  </si>
  <si>
    <t xml:space="preserve">GATE_1, T5G</t>
  </si>
  <si>
    <t xml:space="preserve">Timer5 gate used as input for DC measurement</t>
  </si>
  <si>
    <t xml:space="preserve">OPA2</t>
  </si>
  <si>
    <t xml:space="preserve">Output voltage control loop error amp</t>
  </si>
  <si>
    <t xml:space="preserve">Required PWM5PR value (hex)</t>
  </si>
  <si>
    <t xml:space="preserve">OPA3</t>
  </si>
  <si>
    <t xml:space="preserve">LM4040 Precision Voltage Reference</t>
  </si>
  <si>
    <t xml:space="preserve">ADC Maximum Range Scaling Model</t>
  </si>
  <si>
    <t xml:space="preserve">Vdd</t>
  </si>
  <si>
    <t xml:space="preserve">FVR</t>
  </si>
  <si>
    <t xml:space="preserve">ADC Vref for low &amp; high range</t>
  </si>
  <si>
    <t xml:space="preserve">10-bit PWM Timing</t>
  </si>
  <si>
    <t xml:space="preserve">PR Match</t>
  </si>
  <si>
    <t xml:space="preserve">Input voltage</t>
  </si>
  <si>
    <t xml:space="preserve">ADC mV/incr, Vref=5V</t>
  </si>
  <si>
    <t xml:space="preserve">RB0</t>
  </si>
  <si>
    <t xml:space="preserve">AN12</t>
  </si>
  <si>
    <t xml:space="preserve">N/C</t>
  </si>
  <si>
    <t xml:space="preserve">No connection</t>
  </si>
  <si>
    <t xml:space="preserve">T0</t>
  </si>
  <si>
    <t xml:space="preserve">Fosc</t>
  </si>
  <si>
    <t xml:space="preserve">PR Match Time</t>
  </si>
  <si>
    <t xml:space="preserve">Reference voltage</t>
  </si>
  <si>
    <t xml:space="preserve">ADC value</t>
  </si>
  <si>
    <t xml:space="preserve">RB1</t>
  </si>
  <si>
    <t xml:space="preserve">AN10</t>
  </si>
  <si>
    <t xml:space="preserve">OPA2OUT</t>
  </si>
  <si>
    <t xml:space="preserve">EA_OUT, PRG1/2IN</t>
  </si>
  <si>
    <t xml:space="preserve">T1-16b</t>
  </si>
  <si>
    <t xml:space="preserve">Postscaler (1:1-1:16)</t>
  </si>
  <si>
    <t xml:space="preserve">Bias current</t>
  </si>
  <si>
    <t xml:space="preserve">S_RT_MV_M_COR</t>
  </si>
  <si>
    <t xml:space="preserve">RB2</t>
  </si>
  <si>
    <t xml:space="preserve">AN8</t>
  </si>
  <si>
    <t xml:space="preserve">OPA2IN0-</t>
  </si>
  <si>
    <t xml:space="preserve">EA_IN</t>
  </si>
  <si>
    <t xml:space="preserve">T3-16b</t>
  </si>
  <si>
    <t xml:space="preserve">Converter 2 duty cycle measurement</t>
  </si>
  <si>
    <t xml:space="preserve">Postscaler Time</t>
  </si>
  <si>
    <t xml:space="preserve">Vref consumers:</t>
  </si>
  <si>
    <t xml:space="preserve">S_RT_VMV_DEC</t>
  </si>
  <si>
    <t xml:space="preserve">RB3</t>
  </si>
  <si>
    <t xml:space="preserve">AN9</t>
  </si>
  <si>
    <t xml:space="preserve">C1IN2-, C2IN2-</t>
  </si>
  <si>
    <t xml:space="preserve">I_SENSE_1</t>
  </si>
  <si>
    <t xml:space="preserve">T5-16b</t>
  </si>
  <si>
    <t xml:space="preserve">Converter 1 duty cycle measurement</t>
  </si>
  <si>
    <t xml:space="preserve">PIC ADC</t>
  </si>
  <si>
    <t xml:space="preserve">S_RT_VMV_INT</t>
  </si>
  <si>
    <t xml:space="preserve">RB4</t>
  </si>
  <si>
    <t xml:space="preserve">AN11</t>
  </si>
  <si>
    <t xml:space="preserve">COG1B</t>
  </si>
  <si>
    <t xml:space="preserve">SYNC_1</t>
  </si>
  <si>
    <t xml:space="preserve">T2-8b</t>
  </si>
  <si>
    <t xml:space="preserve">Instructions / period</t>
  </si>
  <si>
    <t xml:space="preserve">Temperature sense #1</t>
  </si>
  <si>
    <t xml:space="preserve">Object mvr</t>
  </si>
  <si>
    <t xml:space="preserve">RB5</t>
  </si>
  <si>
    <t xml:space="preserve">AN13</t>
  </si>
  <si>
    <t xml:space="preserve">TEMP_ADC_1</t>
  </si>
  <si>
    <t xml:space="preserve">T4-8b</t>
  </si>
  <si>
    <t xml:space="preserve">Period Register (hex)</t>
  </si>
  <si>
    <t xml:space="preserve">27</t>
  </si>
  <si>
    <t xml:space="preserve">Temperature sense #2</t>
  </si>
  <si>
    <t xml:space="preserve">Object adc1v</t>
  </si>
  <si>
    <t xml:space="preserve">RB6</t>
  </si>
  <si>
    <t xml:space="preserve">EUSART</t>
  </si>
  <si>
    <t xml:space="preserve">CLK_Tx</t>
  </si>
  <si>
    <t xml:space="preserve">T6-8b</t>
  </si>
  <si>
    <t xml:space="preserve">System timer</t>
  </si>
  <si>
    <t xml:space="preserve">Object scale</t>
  </si>
  <si>
    <t xml:space="preserve">RB7</t>
  </si>
  <si>
    <t xml:space="preserve">DAT_Rx</t>
  </si>
  <si>
    <t xml:space="preserve">T8-8b</t>
  </si>
  <si>
    <t xml:space="preserve">COR ADC value</t>
  </si>
  <si>
    <t xml:space="preserve">PWM3-10b</t>
  </si>
  <si>
    <t xml:space="preserve">PWMperiod</t>
  </si>
  <si>
    <t xml:space="preserve">Scaled ADC value</t>
  </si>
  <si>
    <t xml:space="preserve">PWM4-10b</t>
  </si>
  <si>
    <t xml:space="preserve">PWMfreq</t>
  </si>
  <si>
    <t xml:space="preserve">Calculated volts</t>
  </si>
  <si>
    <t xml:space="preserve">PWM9-10b</t>
  </si>
  <si>
    <t xml:space="preserve">Resolution bits</t>
  </si>
  <si>
    <t xml:space="preserve">Calculated mV</t>
  </si>
  <si>
    <t xml:space="preserve">PWM5-16b</t>
  </si>
  <si>
    <t xml:space="preserve">Master PWM, converter 1</t>
  </si>
  <si>
    <t xml:space="preserve">Resolution cycles</t>
  </si>
  <si>
    <t xml:space="preserve">Calculated vmv</t>
  </si>
  <si>
    <t xml:space="preserve">PWM6-16b</t>
  </si>
  <si>
    <t xml:space="preserve">Slave PWM, converter 2, 180° out of phase with 1</t>
  </si>
  <si>
    <t xml:space="preserve">CCPRxH:CCPRxL (hex)</t>
  </si>
  <si>
    <t xml:space="preserve">10</t>
  </si>
  <si>
    <t xml:space="preserve">Total==&gt;</t>
  </si>
  <si>
    <t xml:space="preserve">PWM11-16b</t>
  </si>
  <si>
    <t xml:space="preserve">Duty Cycle time</t>
  </si>
  <si>
    <t xml:space="preserve">Ideal resistor</t>
  </si>
  <si>
    <t xml:space="preserve">NVM 16-bit Converter</t>
  </si>
  <si>
    <t xml:space="preserve">COG1</t>
  </si>
  <si>
    <t xml:space="preserve">Converter 1 gate drive</t>
  </si>
  <si>
    <t xml:space="preserve">Duty cycle %</t>
  </si>
  <si>
    <t xml:space="preserve">Standard value resistor, R_s_std</t>
  </si>
  <si>
    <t xml:space="preserve">FROM NVM</t>
  </si>
  <si>
    <t xml:space="preserve">COG2</t>
  </si>
  <si>
    <t xml:space="preserve">Converter 2 gate drive</t>
  </si>
  <si>
    <t xml:space="preserve">R_s_std dissipation</t>
  </si>
  <si>
    <t xml:space="preserve">Low_10</t>
  </si>
  <si>
    <t xml:space="preserve">COG3</t>
  </si>
  <si>
    <t xml:space="preserve">Reference dissipation</t>
  </si>
  <si>
    <t xml:space="preserve">High_10</t>
  </si>
  <si>
    <t xml:space="preserve">CLC1</t>
  </si>
  <si>
    <t xml:space="preserve">Total dissipation</t>
  </si>
  <si>
    <t xml:space="preserve">Hex_16</t>
  </si>
  <si>
    <t xml:space="preserve">CLC2</t>
  </si>
  <si>
    <t xml:space="preserve">Dec_16</t>
  </si>
  <si>
    <t xml:space="preserve">CLC3</t>
  </si>
  <si>
    <t xml:space="preserve">TO NVM</t>
  </si>
  <si>
    <t xml:space="preserve">CLC4</t>
  </si>
  <si>
    <t xml:space="preserve">Charge balancer I2C interface</t>
  </si>
  <si>
    <t xml:space="preserve">Console interface</t>
  </si>
  <si>
    <t xml:space="preserve">mV / increment</t>
  </si>
  <si>
    <t xml:space="preserve">ICSP</t>
  </si>
  <si>
    <t xml:space="preserve">G_BB_1</t>
  </si>
  <si>
    <t xml:space="preserve">G_BT_1</t>
  </si>
  <si>
    <t xml:space="preserve">G_BT_4</t>
  </si>
  <si>
    <t xml:space="preserve">Period, (hex word)</t>
  </si>
  <si>
    <t xml:space="preserve">4F</t>
  </si>
  <si>
    <t xml:space="preserve">G_BB_4</t>
  </si>
  <si>
    <t xml:space="preserve">Period, (decimal)</t>
  </si>
  <si>
    <t xml:space="preserve">VC_BT_4</t>
  </si>
  <si>
    <t xml:space="preserve">CLCIN0PPS</t>
  </si>
  <si>
    <t xml:space="preserve">Duty cycle (hex word)</t>
  </si>
  <si>
    <t xml:space="preserve">7</t>
  </si>
  <si>
    <t xml:space="preserve">G_BT_3</t>
  </si>
  <si>
    <t xml:space="preserve">Duty cycle (decimal)</t>
  </si>
  <si>
    <t xml:space="preserve">GND</t>
  </si>
  <si>
    <t xml:space="preserve">Phase (hex word)</t>
  </si>
  <si>
    <t xml:space="preserve">G_BB_3</t>
  </si>
  <si>
    <t xml:space="preserve">VC_BT_3</t>
  </si>
  <si>
    <t xml:space="preserve">CLCIN1PPS</t>
  </si>
  <si>
    <t xml:space="preserve">VS_SL_2</t>
  </si>
  <si>
    <t xml:space="preserve">Voltage sense select BT 2</t>
  </si>
  <si>
    <t xml:space="preserve">VS_SL_3</t>
  </si>
  <si>
    <t xml:space="preserve">Voltage sense select BT 3</t>
  </si>
  <si>
    <t xml:space="preserve">VS_BT_MCU</t>
  </si>
  <si>
    <t xml:space="preserve">VS_BB_MCU</t>
  </si>
  <si>
    <t xml:space="preserve">Timer 2/4/6/8</t>
  </si>
  <si>
    <t xml:space="preserve">VS_SL_4</t>
  </si>
  <si>
    <t xml:space="preserve">Voltage sense select BT 4</t>
  </si>
  <si>
    <t xml:space="preserve">Duty cycle value</t>
  </si>
  <si>
    <t xml:space="preserve">VS_SL_1</t>
  </si>
  <si>
    <t xml:space="preserve">Voltage sense select BT 1</t>
  </si>
  <si>
    <t xml:space="preserve">G_BT_2</t>
  </si>
  <si>
    <t xml:space="preserve">G_BB_2</t>
  </si>
  <si>
    <t xml:space="preserve">Required value (hex)</t>
  </si>
  <si>
    <t xml:space="preserve">+5V</t>
  </si>
  <si>
    <t xml:space="preserve">VC_BT_2</t>
  </si>
  <si>
    <t xml:space="preserve">CLCIN2PPS</t>
  </si>
  <si>
    <t xml:space="preserve">Successful boot sets pin to output</t>
  </si>
  <si>
    <t xml:space="preserve">VC_BT_1</t>
  </si>
  <si>
    <t xml:space="preserve">CLCIN3PPS</t>
  </si>
  <si>
    <t xml:space="preserve">VC_BT_OUT</t>
  </si>
  <si>
    <t xml:space="preserve">OR’d voltage condition out to master controller</t>
  </si>
  <si>
    <t xml:space="preserve">EUSART, MSSP</t>
  </si>
  <si>
    <t xml:space="preserve">CLK_Tx, SCL_Tx</t>
  </si>
  <si>
    <t xml:space="preserve">ICSP, RS232 console, I2C</t>
  </si>
  <si>
    <t xml:space="preserve">DAT_Rx, SDA_Rx</t>
  </si>
  <si>
    <t xml:space="preserve">Time</t>
  </si>
  <si>
    <t xml:space="preserve">Stack V</t>
  </si>
  <si>
    <t xml:space="preserve">Charge Iin</t>
  </si>
  <si>
    <t xml:space="preserve">Load</t>
  </si>
  <si>
    <t xml:space="preserve">Chg on/off</t>
  </si>
  <si>
    <t xml:space="preserve">Condition Notes</t>
  </si>
  <si>
    <t xml:space="preserve">BT Adjustment</t>
  </si>
  <si>
    <t xml:space="preserve">on</t>
  </si>
  <si>
    <t xml:space="preserve">Measured shortly after charge dropped to 0</t>
  </si>
  <si>
    <t xml:space="preserve">BT</t>
  </si>
  <si>
    <t xml:space="preserve">off</t>
  </si>
  <si>
    <t xml:space="preserve">Measured within 2m after charger turned off</t>
  </si>
  <si>
    <t xml:space="preserve">Diff.</t>
  </si>
  <si>
    <t xml:space="preserve">ADC comp.</t>
  </si>
  <si>
    <t xml:space="preserve">BT Corrected Volts</t>
  </si>
  <si>
    <t xml:space="preserve">ref</t>
  </si>
  <si>
    <t xml:space="preserve">BT DVM</t>
  </si>
  <si>
    <t xml:space="preserve">Adjusted</t>
  </si>
  <si>
    <t xml:space="preserve">BB Adjustment</t>
  </si>
  <si>
    <t xml:space="preserve">ADC BB</t>
  </si>
  <si>
    <t xml:space="preserve">ADC BT</t>
  </si>
  <si>
    <t xml:space="preserve">ADC Δ</t>
  </si>
  <si>
    <t xml:space="preserve">BB Corrected Volts</t>
  </si>
  <si>
    <t xml:space="preserve">Pull-push 1-2</t>
  </si>
  <si>
    <t xml:space="preserve">Pull-push 4-2</t>
  </si>
  <si>
    <t xml:space="preserve">Pull-push 4-3</t>
  </si>
  <si>
    <t xml:space="preserve">Pull-push 3-2</t>
  </si>
  <si>
    <t xml:space="preserve">Pull-push 4-1</t>
  </si>
  <si>
    <t xml:space="preserve">BT 100mV high</t>
  </si>
  <si>
    <t xml:space="preserve">BB perfect</t>
  </si>
  <si>
    <t xml:space="preserve">Pull-push 1-4</t>
  </si>
  <si>
    <t xml:space="preserve">BT 90mV high</t>
  </si>
  <si>
    <t xml:space="preserve">MPP Load Test, 30 Aug 21, ~ 11a MT.</t>
  </si>
  <si>
    <t xml:space="preserve">6063B DC Load using front panel, manual scan</t>
  </si>
  <si>
    <t xml:space="preserve">Full sunshine, approximately perpendicular to sun</t>
  </si>
  <si>
    <t xml:space="preserve">Panel #</t>
  </si>
  <si>
    <t xml:space="preserve">Voltage</t>
  </si>
  <si>
    <t xml:space="preserve">Watts</t>
  </si>
  <si>
    <t xml:space="preserve">Unidirectional Current Transformer</t>
  </si>
  <si>
    <t xml:space="preserve">Coupled Inductor Time, Current Slope, DC Operating Point*</t>
  </si>
  <si>
    <t xml:space="preserve">Primary turns:</t>
  </si>
  <si>
    <t xml:space="preserve">Comments</t>
  </si>
  <si>
    <t xml:space="preserve">Secondary turns:</t>
  </si>
  <si>
    <t xml:space="preserve">PV rated power, W</t>
  </si>
  <si>
    <r>
      <rPr>
        <sz val="10"/>
        <color rgb="FF000000"/>
        <rFont val="Arial"/>
        <family val="2"/>
      </rPr>
      <t xml:space="preserve">Primary design current, I</t>
    </r>
    <r>
      <rPr>
        <vertAlign val="subscript"/>
        <sz val="10"/>
        <color rgb="FF000000"/>
        <rFont val="Arial"/>
        <family val="2"/>
      </rPr>
      <t xml:space="preserve">P</t>
    </r>
    <r>
      <rPr>
        <sz val="10"/>
        <color rgb="FF000000"/>
        <rFont val="Arial"/>
        <family val="2"/>
      </rPr>
      <t xml:space="preserve">:2</t>
    </r>
  </si>
  <si>
    <t xml:space="preserve">Input @ MPPT, V</t>
  </si>
  <si>
    <t xml:space="preserve">Ratio:</t>
  </si>
  <si>
    <t xml:space="preserve">Input @ MPPT, I</t>
  </si>
  <si>
    <r>
      <rPr>
        <sz val="10"/>
        <color rgb="FF000000"/>
        <rFont val="Arial"/>
        <family val="2"/>
      </rPr>
      <t xml:space="preserve">Secondary current @ I</t>
    </r>
    <r>
      <rPr>
        <vertAlign val="subscript"/>
        <sz val="10"/>
        <color rgb="FF000000"/>
        <rFont val="Arial"/>
        <family val="2"/>
      </rPr>
      <t xml:space="preserve">P</t>
    </r>
    <r>
      <rPr>
        <sz val="10"/>
        <color rgb="FF000000"/>
        <rFont val="Arial"/>
        <family val="2"/>
      </rPr>
      <t xml:space="preserve">, I</t>
    </r>
    <r>
      <rPr>
        <vertAlign val="subscript"/>
        <sz val="10"/>
        <color rgb="FF000000"/>
        <rFont val="Arial"/>
        <family val="2"/>
      </rPr>
      <t xml:space="preserve">S</t>
    </r>
    <r>
      <rPr>
        <sz val="10"/>
        <color rgb="FF000000"/>
        <rFont val="Arial"/>
        <family val="2"/>
      </rPr>
      <t xml:space="preserve">:</t>
    </r>
  </si>
  <si>
    <t xml:space="preserve">Output, V</t>
  </si>
  <si>
    <t xml:space="preserve">Burden resistor, Ω:</t>
  </si>
  <si>
    <t xml:space="preserve">Output, I</t>
  </si>
  <si>
    <t xml:space="preserve">Rectifier V_f</t>
  </si>
  <si>
    <t xml:space="preserve">Output, Ro, Ω</t>
  </si>
  <si>
    <t xml:space="preserve">Load impedance.</t>
  </si>
  <si>
    <t xml:space="preserve">Max secondary voltage:</t>
  </si>
  <si>
    <t xml:space="preserve">Inductor, L</t>
  </si>
  <si>
    <t xml:space="preserve">Per Titan design file mpptproto-l1-r1.pdf.</t>
  </si>
  <si>
    <t xml:space="preserve">Volts per amp, Ri, V:</t>
  </si>
  <si>
    <t xml:space="preserve">Switch freq., F_s</t>
  </si>
  <si>
    <t xml:space="preserve">Dissipation, W:</t>
  </si>
  <si>
    <t xml:space="preserve">Duty Cycle, D, %</t>
  </si>
  <si>
    <t xml:space="preserve">Required duty cycle to meet input / output parameters.</t>
  </si>
  <si>
    <t xml:space="preserve">Rectifier dissipation, W:</t>
  </si>
  <si>
    <t xml:space="preserve">Switch time, T_s</t>
  </si>
  <si>
    <t xml:space="preserve">Core part #:</t>
  </si>
  <si>
    <t xml:space="preserve">TDK B64290L0038X038</t>
  </si>
  <si>
    <t xml:space="preserve">On time, T_on</t>
  </si>
  <si>
    <t xml:space="preserve">Core material:</t>
  </si>
  <si>
    <t xml:space="preserve">Ferrite, T38</t>
  </si>
  <si>
    <t xml:space="preserve">Off time, T_off</t>
  </si>
  <si>
    <r>
      <rPr>
        <sz val="10"/>
        <color rgb="FF000000"/>
        <rFont val="Arial"/>
        <family val="2"/>
      </rPr>
      <t xml:space="preserve">Core A</t>
    </r>
    <r>
      <rPr>
        <vertAlign val="subscript"/>
        <sz val="10"/>
        <color rgb="FF000000"/>
        <rFont val="Arial"/>
        <family val="2"/>
      </rPr>
      <t xml:space="preserve">e</t>
    </r>
    <r>
      <rPr>
        <sz val="10"/>
        <color rgb="FF000000"/>
        <rFont val="Arial"/>
        <family val="2"/>
      </rPr>
      <t xml:space="preserve">, mm</t>
    </r>
    <r>
      <rPr>
        <vertAlign val="superscript"/>
        <sz val="10"/>
        <color rgb="FF000000"/>
        <rFont val="Arial"/>
        <family val="2"/>
      </rPr>
      <t xml:space="preserve">2</t>
    </r>
    <r>
      <rPr>
        <sz val="10"/>
        <color rgb="FF000000"/>
        <rFont val="Arial"/>
        <family val="2"/>
      </rPr>
      <t xml:space="preserve">:</t>
    </r>
  </si>
  <si>
    <t xml:space="preserve">Inductor M2, A/uS</t>
  </si>
  <si>
    <t xml:space="preserve">M2 is the inductor down-sloping ramp during switch off-time.</t>
  </si>
  <si>
    <r>
      <rPr>
        <sz val="10"/>
        <color rgb="FF000000"/>
        <rFont val="Arial"/>
        <family val="2"/>
      </rPr>
      <t xml:space="preserve">Core A</t>
    </r>
    <r>
      <rPr>
        <vertAlign val="subscript"/>
        <sz val="10"/>
        <color rgb="FF000000"/>
        <rFont val="Arial"/>
        <family val="2"/>
      </rPr>
      <t xml:space="preserve">L, nH:</t>
    </r>
  </si>
  <si>
    <t xml:space="preserve">Inductor M, A/uS</t>
  </si>
  <si>
    <t xml:space="preserve">M is 1/2 the slope of M2.</t>
  </si>
  <si>
    <t xml:space="preserve">Inductance, L:</t>
  </si>
  <si>
    <t xml:space="preserve">Inductor M2, V/uS</t>
  </si>
  <si>
    <t xml:space="preserve">di/dt, A/s:</t>
  </si>
  <si>
    <t xml:space="preserve">Inductor M, V/uS</t>
  </si>
  <si>
    <t xml:space="preserve">Slope compensation value, ½ slope of M2 in V/uS.</t>
  </si>
  <si>
    <t xml:space="preserve">Maximum pulse time, uS:</t>
  </si>
  <si>
    <t xml:space="preserve">Inductor M2 ∆, I</t>
  </si>
  <si>
    <t xml:space="preserve">Inductor output ripple current.</t>
  </si>
  <si>
    <t xml:space="preserve">Magnetization current, I:</t>
  </si>
  <si>
    <t xml:space="preserve">Inductor peak, I_Lp | V_Lp</t>
  </si>
  <si>
    <t xml:space="preserve">Coupled inductor (L_1 + L_2) peak current | volts (per CT ratio Ri)</t>
  </si>
  <si>
    <t xml:space="preserve">Primary current error, I:</t>
  </si>
  <si>
    <t xml:space="preserve">Inductor min, I|V</t>
  </si>
  <si>
    <t xml:space="preserve">Per pulse flux density, mT:</t>
  </si>
  <si>
    <t xml:space="preserve">Inductor M1, A/uS</t>
  </si>
  <si>
    <t xml:space="preserve">M1 is the inductor up-sloping ramp during switch on-time.</t>
  </si>
  <si>
    <t xml:space="preserve">Reset resistor, Ω:</t>
  </si>
  <si>
    <t xml:space="preserve">Inductor M1, V/uS</t>
  </si>
  <si>
    <t xml:space="preserve">Reset voltage:</t>
  </si>
  <si>
    <t xml:space="preserve">Slope comp, V_slope</t>
  </si>
  <si>
    <t xml:space="preserve">Design enforced (using PRG) standard slope compensation value for M, V/uS.</t>
  </si>
  <si>
    <t xml:space="preserve">94% reset time, s:</t>
  </si>
  <si>
    <t xml:space="preserve">Slope comp, V_slope(max)</t>
  </si>
  <si>
    <t xml:space="preserve">Maximum slope compensation value of M for time T_on</t>
  </si>
  <si>
    <t xml:space="preserve">Minimum off-time:</t>
  </si>
  <si>
    <t xml:space="preserve">Starting ramp voltage</t>
  </si>
  <si>
    <t xml:space="preserve">Maximum input voltage from outer voltage loop EA @ start of switching cycle</t>
  </si>
  <si>
    <t xml:space="preserve">Reset margin:</t>
  </si>
  <si>
    <t xml:space="preserve">Ending ramp voltage</t>
  </si>
  <si>
    <t xml:space="preserve">Ramp voltage with V_slope(max) applied</t>
  </si>
  <si>
    <t xml:space="preserve">DC power circuit gain, A</t>
  </si>
  <si>
    <t xml:space="preserve">DC operating point: gain from current control loop to Ri (CT sense)</t>
  </si>
  <si>
    <t xml:space="preserve">DC power stage gain, dB</t>
  </si>
  <si>
    <t xml:space="preserve">Power stage zero, F</t>
  </si>
  <si>
    <t xml:space="preserve">Frequency at which coupled inductor impedance equals I_T (max load @ MPPT)</t>
  </si>
  <si>
    <t xml:space="preserve">Power stage zero, dB</t>
  </si>
  <si>
    <t xml:space="preserve">Gain @ power circuit zero, dB</t>
  </si>
  <si>
    <t xml:space="preserve">*Transfer function (small signal model) adapted from “Seminar 900 Topic 7 - Control Loop Design SEPIC Prereg”, Dixon, Lloyd, 2001, publication slup104.
    + In Dixon’s example the sawtooth reaches peak @ end of cycle (100% D).
    + In this design the slope comp drives PWM comparator and starts @ max
       Volts @ start of cycle.  Max DC is reached @ time Ton and volts is reduced
       By Ton * M.
    + Thus, Rs/Vs in Dixon’s transfer function is replaced with 
       Ri/(Vramp_max – Ton * M).</t>
  </si>
  <si>
    <t xml:space="preserve">Design Parameter</t>
  </si>
  <si>
    <t xml:space="preserve">Winding Requirements &amp; 
Toroid Parameters</t>
  </si>
  <si>
    <t xml:space="preserve">Selected wire AWG =</t>
  </si>
  <si>
    <t xml:space="preserve">Number of turns =</t>
  </si>
  <si>
    <t xml:space="preserve">Number of strands =</t>
  </si>
  <si>
    <t xml:space="preserve">Core dim. adjustment for previously wound layer(s), cm =</t>
  </si>
  <si>
    <r>
      <rPr>
        <sz val="10"/>
        <color rgb="FF000000"/>
        <rFont val="Arial"/>
        <family val="2"/>
      </rPr>
      <t xml:space="preserve">Selected wire area cm</t>
    </r>
    <r>
      <rPr>
        <vertAlign val="superscript"/>
        <sz val="10"/>
        <color rgb="FF000000"/>
        <rFont val="Arial"/>
        <family val="2"/>
      </rPr>
      <t xml:space="preserve">2</t>
    </r>
    <r>
      <rPr>
        <sz val="10"/>
        <color rgb="FF000000"/>
        <rFont val="Arial"/>
        <family val="2"/>
      </rPr>
      <t xml:space="preserve"> = </t>
    </r>
  </si>
  <si>
    <t xml:space="preserve">Selected wire uΩ/cm =</t>
  </si>
  <si>
    <t xml:space="preserve">Selected wire dia w/insul, mm =</t>
  </si>
  <si>
    <t xml:space="preserve">Selected core manufacturer =</t>
  </si>
  <si>
    <t xml:space="preserve">TDK</t>
  </si>
  <si>
    <t xml:space="preserve">Selected core part # =</t>
  </si>
  <si>
    <t xml:space="preserve">B64290L0038X038</t>
  </si>
  <si>
    <t xml:space="preserve">Selected core OD, cm =</t>
  </si>
  <si>
    <t xml:space="preserve">Selected core ID, cm =</t>
  </si>
  <si>
    <t xml:space="preserve">Selected core height, cm =</t>
  </si>
  <si>
    <r>
      <rPr>
        <sz val="10"/>
        <color rgb="FF000000"/>
        <rFont val="Arial"/>
        <family val="2"/>
      </rPr>
      <t xml:space="preserve">Selected core A</t>
    </r>
    <r>
      <rPr>
        <vertAlign val="subscript"/>
        <sz val="10"/>
        <color rgb="FF000000"/>
        <rFont val="Arial"/>
        <family val="2"/>
      </rPr>
      <t xml:space="preserve">L</t>
    </r>
    <r>
      <rPr>
        <sz val="10"/>
        <color rgb="FF000000"/>
        <rFont val="Arial"/>
        <family val="2"/>
      </rPr>
      <t xml:space="preserve">, nH/N2 =</t>
    </r>
  </si>
  <si>
    <t xml:space="preserve">Permeability tolerance, % =</t>
  </si>
  <si>
    <t xml:space="preserve">Available winding length, cm =</t>
  </si>
  <si>
    <t xml:space="preserve">Mean Length turn, cm =</t>
  </si>
  <si>
    <t xml:space="preserve">Winding width per turn, cm =</t>
  </si>
  <si>
    <t xml:space="preserve">Total winding Ω =</t>
  </si>
  <si>
    <t xml:space="preserve">Toroid Winding Calculator</t>
  </si>
  <si>
    <t xml:space="preserve">Turns/Layer</t>
  </si>
  <si>
    <t xml:space="preserve">Len/Str/Layer</t>
  </si>
  <si>
    <t xml:space="preserve">Mean length turn (cm) =</t>
  </si>
  <si>
    <t xml:space="preserve">Toroid inner diameter (cm) =</t>
  </si>
  <si>
    <t xml:space="preserve">Toroid inner radius (cm) =</t>
  </si>
  <si>
    <t xml:space="preserve">Toroid inner circumference (cm) =</t>
  </si>
  <si>
    <t xml:space="preserve">Number of turns layer 1 =</t>
  </si>
  <si>
    <t xml:space="preserve">Mean length turn layer 2 (cm) =</t>
  </si>
  <si>
    <t xml:space="preserve">Toroid inner radius w/layer 1 (cm) =</t>
  </si>
  <si>
    <t xml:space="preserve">Toroid inner circumference w/layer 1 (cm) =</t>
  </si>
  <si>
    <t xml:space="preserve">Number of turns layer 2 =</t>
  </si>
  <si>
    <t xml:space="preserve">Mean length turn layer 3 (cm) =</t>
  </si>
  <si>
    <t xml:space="preserve">Toroid inner radius w/layer 2 (cm) =</t>
  </si>
  <si>
    <t xml:space="preserve">Toroid inner circumference w/layer 2 (cm) =</t>
  </si>
  <si>
    <t xml:space="preserve">Number of turns layer 3 =</t>
  </si>
  <si>
    <t xml:space="preserve">Mean length turn layer 4 (cm) =</t>
  </si>
  <si>
    <t xml:space="preserve">Toroid inner radius w/layer 3 (cm) =</t>
  </si>
  <si>
    <t xml:space="preserve">Toroid inner circumference w/layer 3 (cm) =</t>
  </si>
  <si>
    <t xml:space="preserve">Number of turns layer 4 =</t>
  </si>
  <si>
    <t xml:space="preserve">Loop Design &amp; Compensation Network</t>
  </si>
  <si>
    <t xml:space="preserve">Power Stage Gain</t>
  </si>
  <si>
    <t xml:space="preserve">Frequency</t>
  </si>
  <si>
    <t xml:space="preserve">dB</t>
  </si>
  <si>
    <t xml:space="preserve">DC = </t>
  </si>
  <si>
    <t xml:space="preserve">1 Decade =</t>
  </si>
  <si>
    <t xml:space="preserve">Desired cross-over frequency, Fco =</t>
  </si>
  <si>
    <t xml:space="preserve">Power circuit zero @ MPPT =</t>
  </si>
  <si>
    <t xml:space="preserve">Switching frequency =</t>
  </si>
  <si>
    <t xml:space="preserve">Error Amp Compensation Network</t>
  </si>
  <si>
    <t xml:space="preserve">Gain resistor R1, Ω = </t>
  </si>
  <si>
    <t xml:space="preserve">Stock: 805, 1%</t>
  </si>
  <si>
    <t xml:space="preserve">Gain required to set unity at Fco, A = </t>
  </si>
  <si>
    <t xml:space="preserve">Feedback resistor R2, Ω =</t>
  </si>
  <si>
    <t xml:space="preserve">Select standard value for R2, Ω =</t>
  </si>
  <si>
    <t xml:space="preserve">Gain for standard value R2, dB =</t>
  </si>
  <si>
    <t xml:space="preserve">Approximate Fco using standard value R2, Hz =</t>
  </si>
  <si>
    <t xml:space="preserve">Desired C1 zero frequency, F_c1(z) =</t>
  </si>
  <si>
    <t xml:space="preserve">C1 value to set zero at F_c1(z) =</t>
  </si>
  <si>
    <t xml:space="preserve">Select standard value for C1 =</t>
  </si>
  <si>
    <t xml:space="preserve">Digikey #311-4285-1-ND, size=805</t>
  </si>
  <si>
    <t xml:space="preserve">C1 zero using standard value, F_c1(z) =</t>
  </si>
  <si>
    <t xml:space="preserve">Desired C2 pole frequency, F_c2(p) =</t>
  </si>
  <si>
    <t xml:space="preserve">C2 value to set pole at F_c2(p) =</t>
  </si>
  <si>
    <t xml:space="preserve">Select standard value for C2, F =</t>
  </si>
  <si>
    <t xml:space="preserve">Digikey #490-3321-1-ND, size=805</t>
  </si>
  <si>
    <t xml:space="preserve">C2 pole frequency based on standard value, F =</t>
  </si>
  <si>
    <t xml:space="preserve">Error Amp Gain</t>
  </si>
  <si>
    <t xml:space="preserve">Loop Gain Plot</t>
  </si>
  <si>
    <t xml:space="preserve">Modulator</t>
  </si>
  <si>
    <t xml:space="preserve">Error Amp</t>
  </si>
  <si>
    <t xml:space="preserve">Loop</t>
  </si>
  <si>
    <t xml:space="preserve">Three decades</t>
  </si>
  <si>
    <t xml:space="preserve">Gate Drive Requirements</t>
  </si>
  <si>
    <t xml:space="preserve">Transistor:</t>
  </si>
  <si>
    <t xml:space="preserve">IPP220N25NFD</t>
  </si>
  <si>
    <t xml:space="preserve">Gate to Drain (reverse transfer) capacitance, Crss, pF = </t>
  </si>
  <si>
    <t xml:space="preserve">Gate to Source (input) capacitance, Ciss, pF = </t>
  </si>
  <si>
    <t xml:space="preserve">Coss, pF = </t>
  </si>
  <si>
    <t xml:space="preserve">Rise time, Tr, ns  = </t>
  </si>
  <si>
    <t xml:space="preserve">Using typical; max not provided</t>
  </si>
  <si>
    <t xml:space="preserve">Fall time, Tf, (seconds) = </t>
  </si>
  <si>
    <t xml:space="preserve">Vdd from data sheet for Tr spec, E = </t>
  </si>
  <si>
    <t xml:space="preserve">Drain voltage, Ed = </t>
  </si>
  <si>
    <t xml:space="preserve">Gate voltage, Eg = </t>
  </si>
  <si>
    <t xml:space="preserve">Current required, Iiss = </t>
  </si>
  <si>
    <t xml:space="preserve">Current required, Irss = </t>
  </si>
  <si>
    <t xml:space="preserve">Total required gate current, Ig = </t>
  </si>
  <si>
    <t xml:space="preserve">Total input capacitance, Cin = </t>
  </si>
  <si>
    <t xml:space="preserve">Gate resistor, Ω = </t>
  </si>
  <si>
    <t xml:space="preserve">Gate charge/discharge 1 time constant = </t>
  </si>
  <si>
    <t xml:space="preserve">Gate charge/discharge 3 time constants (effectively charged) = </t>
  </si>
  <si>
    <t xml:space="preserve">Peak resistor current = </t>
  </si>
  <si>
    <t xml:space="preserve">Constant (averaged) current required to replace gate charge =</t>
  </si>
  <si>
    <t xml:space="preserve">Resistor power dissipation (1st order, worst case) = </t>
  </si>
  <si>
    <t xml:space="preserve">Non-Isolated Energy Recovery Snubber</t>
  </si>
  <si>
    <t xml:space="preserve">Calculated value for capacitor = </t>
  </si>
  <si>
    <t xml:space="preserve">Capacitor value is established at minimum input voltage, V_in(min).</t>
  </si>
  <si>
    <t xml:space="preserve">Standard value for capacitor, C_s = </t>
  </si>
  <si>
    <t xml:space="preserve">Desired C_s discharge time @ switch turn-on = </t>
  </si>
  <si>
    <t xml:space="preserve">Impedance of C_s @ T_c, Z_c = </t>
  </si>
  <si>
    <t xml:space="preserve">Calculated value for inductor = </t>
  </si>
  <si>
    <t xml:space="preserve">Standard value for inductor, L_s = </t>
  </si>
  <si>
    <t xml:space="preserve">Calculated (no parasitics) peak voltage across switch &amp; C_s = </t>
  </si>
  <si>
    <t xml:space="preserve">Estimated / observed peak voltage across switch &amp; C_s, V_p = </t>
  </si>
  <si>
    <t xml:space="preserve">Energy stored in C_s @ V_p, P_c = </t>
  </si>
  <si>
    <t xml:space="preserve">Watt-seconds.</t>
  </si>
  <si>
    <t xml:space="preserve">Peak inductor current, I_l = </t>
  </si>
  <si>
    <t xml:space="preserve">Peak current stress applied to switch at turn-on at T_d.</t>
  </si>
  <si>
    <t xml:space="preserve">Recovery circuit voltage, V_r = </t>
  </si>
  <si>
    <t xml:space="preserve">Working voltage of the circuit that recovered energy will be sent to.</t>
  </si>
  <si>
    <t xml:space="preserve">Inductor blocking diode forward voltage, V_df_i = </t>
  </si>
  <si>
    <t xml:space="preserve">L_s voltage will be clamped to V_r+V_df_i+V_df_c during discharge.</t>
  </si>
  <si>
    <t xml:space="preserve">Capacitor blocking diode forward voltage, V_df_c = </t>
  </si>
  <si>
    <t xml:space="preserve">Actual C_s discharge time @ switch turn-on with L_s, T_d = </t>
  </si>
  <si>
    <r>
      <rPr>
        <sz val="10"/>
        <color rgb="FF000000"/>
        <rFont val="Arial"/>
        <family val="2"/>
      </rPr>
      <t xml:space="preserve">1</t>
    </r>
    <r>
      <rPr>
        <vertAlign val="superscript"/>
        <sz val="10"/>
        <color rgb="FF000000"/>
        <rFont val="Arial"/>
        <family val="2"/>
      </rPr>
      <t xml:space="preserve">st</t>
    </r>
    <r>
      <rPr>
        <sz val="10"/>
        <color rgb="FF000000"/>
        <rFont val="Arial"/>
        <family val="2"/>
      </rPr>
      <t xml:space="preserve"> order approximation. This is also inductor charge time.</t>
    </r>
  </si>
  <si>
    <t xml:space="preserve">Inductor discharge time, T_ld = </t>
  </si>
  <si>
    <r>
      <rPr>
        <sz val="10"/>
        <color rgb="FF000000"/>
        <rFont val="Arial"/>
        <family val="2"/>
      </rPr>
      <t xml:space="preserve">1</t>
    </r>
    <r>
      <rPr>
        <vertAlign val="superscript"/>
        <sz val="10"/>
        <color rgb="FF000000"/>
        <rFont val="Arial"/>
        <family val="2"/>
      </rPr>
      <t xml:space="preserve">st</t>
    </r>
    <r>
      <rPr>
        <sz val="10"/>
        <color rgb="FF000000"/>
        <rFont val="Arial"/>
        <family val="2"/>
      </rPr>
      <t xml:space="preserve"> order approximation.</t>
    </r>
  </si>
  <si>
    <t xml:space="preserve">Inductor charge + discharge period, T_lp = </t>
  </si>
  <si>
    <t xml:space="preserve">Time to charge the inductor (T_c) + inductor discharge (reset) time, T_ld.</t>
  </si>
  <si>
    <t xml:space="preserve">Inductor reset margin, T_lm = </t>
  </si>
  <si>
    <t xml:space="preserve">Must be (+) margin to ensure inductor reset under worst-case conditions.</t>
  </si>
  <si>
    <t xml:space="preserve">Maximum potential energy recovery, P_t = </t>
  </si>
  <si>
    <t xml:space="preserve">Inductor blocking diode losses, P_ld = </t>
  </si>
  <si>
    <t xml:space="preserve">Diode working current &gt; I_l &amp; working voltage margin of 5xV_r (empty inductor ring)</t>
  </si>
  <si>
    <t xml:space="preserve">Capacitor blocking diode losses, P_cd = </t>
  </si>
  <si>
    <t xml:space="preserve">Diode must be able to withstand peak current in main inductor &amp; V_p</t>
  </si>
  <si>
    <t xml:space="preserve">Net energy recovery, P_n = </t>
  </si>
  <si>
    <t xml:space="preserve">Excludes losses in inductor &amp; capacitors.</t>
  </si>
  <si>
    <t xml:space="preserve">Magnetics</t>
  </si>
  <si>
    <t xml:space="preserve">C055894A2</t>
  </si>
  <si>
    <t xml:space="preserve">IPD122N10N3G</t>
  </si>
  <si>
    <t xml:space="preserve">Switching frequency, Hz = </t>
  </si>
  <si>
    <t xml:space="preserve">Using maximum value – time related</t>
  </si>
  <si>
    <t xml:space="preserve">RCD Snubber</t>
  </si>
  <si>
    <t xml:space="preserve">Value for snubber capacitor, C, = </t>
  </si>
  <si>
    <t xml:space="preserve">Value for snubber resistor, R, (Ω) = </t>
  </si>
  <si>
    <t xml:space="preserve">Resistor value is established to set RC time constant at one half the on-time at V_in(nom).</t>
  </si>
  <si>
    <t xml:space="preserve">Standard value for snubber, C, = </t>
  </si>
  <si>
    <t xml:space="preserve">Standard value for snubber, R, (Ω) = </t>
  </si>
  <si>
    <t xml:space="preserve">Blocking diode V_f = </t>
  </si>
  <si>
    <t xml:space="preserve">Snubber resistor, R, power dissipation, watts = </t>
  </si>
  <si>
    <t xml:space="preserve">Assumes that rectifier turn-off is clean (no body diode turn-on w/RR charge) with no negative voltage excursion @ source node much beyond V_in(nom)+V_out.</t>
  </si>
  <si>
    <t xml:space="preserve">Peak snubber discharge current @ rectifier turn-on = </t>
  </si>
  <si>
    <t xml:space="preserve">Switch turn-on dissipation due to snubber discharge = </t>
  </si>
  <si>
    <t xml:space="preserve">Blocking diode average power dissipation, watts = </t>
  </si>
  <si>
    <t xml:space="preserve">Averaged over switching period, T</t>
  </si>
  <si>
    <t xml:space="preserve">Blocking diode average forward current, amps = </t>
  </si>
  <si>
    <t xml:space="preserve">1 RC time constant = </t>
  </si>
  <si>
    <t xml:space="preserve">Time margin @ D_m = </t>
  </si>
  <si>
    <t xml:space="preserve">To complete snubber reset (cap discharge) @ max DC.</t>
  </si>
  <si>
    <t xml:space="preserve">Total supply current, amps = </t>
  </si>
  <si>
    <t xml:space="preserve">Represents the constant (averaged) current the snubber will consume.</t>
  </si>
  <si>
    <t xml:space="preserve">SEPIC Switch MOSFET</t>
  </si>
  <si>
    <t xml:space="preserve">Power Dissipation</t>
  </si>
  <si>
    <t xml:space="preserve">Thermal Model</t>
  </si>
  <si>
    <t xml:space="preserve">Transistor</t>
  </si>
  <si>
    <t xml:space="preserve">Static</t>
  </si>
  <si>
    <t xml:space="preserve">Forced</t>
  </si>
  <si>
    <t xml:space="preserve">Maximum Rds(on)</t>
  </si>
  <si>
    <t xml:space="preserve">Junction-Case, C/W</t>
  </si>
  <si>
    <t xml:space="preserve">Rise time, tr</t>
  </si>
  <si>
    <t xml:space="preserve">Fall time, fr</t>
  </si>
  <si>
    <t xml:space="preserve">Case-Ambient, C/W</t>
  </si>
  <si>
    <r>
      <rPr>
        <sz val="10"/>
        <rFont val="Arial"/>
        <family val="2"/>
      </rPr>
      <t xml:space="preserve">Ref. hs-test-theta workbook.  Ohmite </t>
    </r>
    <r>
      <rPr>
        <sz val="10"/>
        <color rgb="FF000000"/>
        <rFont val="Arial"/>
        <family val="2"/>
      </rPr>
      <t xml:space="preserve">C220-025-1VE heatsink.  </t>
    </r>
    <r>
      <rPr>
        <sz val="10"/>
        <rFont val="Arial"/>
        <family val="2"/>
      </rPr>
      <t xml:space="preserve">Includes coefficient of tab-HS insulator &amp; Faraday screen.</t>
    </r>
  </si>
  <si>
    <t xml:space="preserve">Peak observed Vds</t>
  </si>
  <si>
    <t xml:space="preserve">Rise, C/W</t>
  </si>
  <si>
    <t xml:space="preserve">RMS Current @ V_in(nom) and P_out</t>
  </si>
  <si>
    <r>
      <rPr>
        <sz val="10"/>
        <rFont val="Arial"/>
        <family val="2"/>
      </rPr>
      <t xml:space="preserve">Rise T</t>
    </r>
    <r>
      <rPr>
        <vertAlign val="subscript"/>
        <sz val="12"/>
        <color rgb="FF000000"/>
        <rFont val="Calibri (Body)"/>
        <family val="0"/>
      </rPr>
      <t xml:space="preserve">J</t>
    </r>
    <r>
      <rPr>
        <sz val="12"/>
        <color rgb="FF000000"/>
        <rFont val="Calibri"/>
        <family val="2"/>
      </rPr>
      <t xml:space="preserve"> @ Max W</t>
    </r>
  </si>
  <si>
    <r>
      <rPr>
        <sz val="10"/>
        <rFont val="Arial"/>
        <family val="2"/>
      </rPr>
      <t xml:space="preserve">Max ambient, T</t>
    </r>
    <r>
      <rPr>
        <vertAlign val="subscript"/>
        <sz val="12"/>
        <color rgb="FF000000"/>
        <rFont val="Calibri (Body)"/>
        <family val="0"/>
      </rPr>
      <t xml:space="preserve">A(max)</t>
    </r>
  </si>
  <si>
    <t xml:space="preserve">Period</t>
  </si>
  <si>
    <r>
      <rPr>
        <sz val="10"/>
        <rFont val="Arial"/>
        <family val="2"/>
      </rPr>
      <t xml:space="preserve">T</t>
    </r>
    <r>
      <rPr>
        <vertAlign val="subscript"/>
        <sz val="12"/>
        <color rgb="FF000000"/>
        <rFont val="Calibri (Body)"/>
        <family val="0"/>
      </rPr>
      <t xml:space="preserve">J</t>
    </r>
    <r>
      <rPr>
        <sz val="12"/>
        <color rgb="FF000000"/>
        <rFont val="Calibri"/>
        <family val="2"/>
      </rPr>
      <t xml:space="preserve"> @ max working ambient, C</t>
    </r>
  </si>
  <si>
    <t xml:space="preserve">Duty cycle @ V_in(nom)</t>
  </si>
  <si>
    <t xml:space="preserve">Rise time loss, P_D_t_r</t>
  </si>
  <si>
    <t xml:space="preserve">Fall time loss, P_D_t_f</t>
  </si>
  <si>
    <t xml:space="preserve">Does not account for losses absorbed by recovery snubber.</t>
  </si>
  <si>
    <t xml:space="preserve">Conduction loss, P_D_t_on</t>
  </si>
  <si>
    <t xml:space="preserve">Total losses</t>
  </si>
  <si>
    <t xml:space="preserve">Rectifier</t>
  </si>
  <si>
    <t xml:space="preserve">MBR40250G</t>
  </si>
  <si>
    <t xml:space="preserve">Forward voltage</t>
  </si>
  <si>
    <t xml:space="preserve">Reverse recovery time, Trr</t>
  </si>
  <si>
    <t xml:space="preserve">RMS Current</t>
  </si>
  <si>
    <t xml:space="preserve">Maximum reverse voltage across diode</t>
  </si>
  <si>
    <r>
      <rPr>
        <sz val="10"/>
        <rFont val="Arial"/>
        <family val="2"/>
      </rPr>
      <t xml:space="preserve">Conduction loss, P</t>
    </r>
    <r>
      <rPr>
        <vertAlign val="subscript"/>
        <sz val="10"/>
        <color rgb="FF000000"/>
        <rFont val="Arial"/>
        <family val="2"/>
      </rPr>
      <t xml:space="preserve">D(c)(i)</t>
    </r>
  </si>
  <si>
    <t xml:space="preserve">Charge Balancer Flyback Switch MOSFET</t>
  </si>
  <si>
    <t xml:space="preserve">Vds @ V_in(nom)</t>
  </si>
  <si>
    <t xml:space="preserve">I_in</t>
  </si>
  <si>
    <t xml:space="preserve">Pmax_in</t>
  </si>
  <si>
    <t xml:space="preserve">Pmax_out</t>
  </si>
  <si>
    <t xml:space="preserve">Iout_max</t>
  </si>
  <si>
    <t xml:space="preserve">Eff</t>
  </si>
  <si>
    <t xml:space="preserve">Iout</t>
  </si>
  <si>
    <t xml:space="preserve">Pout</t>
  </si>
  <si>
    <t xml:space="preserve">Data collected 29 July 2021</t>
  </si>
  <si>
    <t xml:space="preserve">Preliminary validation testing</t>
  </si>
  <si>
    <t xml:space="preserve">Card</t>
  </si>
  <si>
    <t xml:space="preserve">Single</t>
  </si>
  <si>
    <t xml:space="preserve">Dual</t>
  </si>
  <si>
    <t xml:space="preserve">Equipment</t>
  </si>
  <si>
    <t xml:space="preserve">HP 6030a PS with remote sensing leads attached to banana jacks.</t>
  </si>
  <si>
    <t xml:space="preserve">HP 60504B DC load without remote sensing.</t>
  </si>
  <si>
    <t xml:space="preserve">Methodology</t>
  </si>
  <si>
    <t xml:space="preserve">Established derating curves using Iin=4.5 for single card, 9 for dual. Both with η=93%</t>
  </si>
  <si>
    <t xml:space="preserve">DC load set to current mode, range to 12.</t>
  </si>
  <si>
    <t xml:space="preserve">PS set to 12A out (max).</t>
  </si>
  <si>
    <t xml:space="preserve">DC load Iin set to value in derating table; actual load value rounded by load to its resolution value.</t>
  </si>
  <si>
    <t xml:space="preserve">Set new load value at continuous pace (no intentional pause between).</t>
  </si>
  <si>
    <t xml:space="preserve">For recording a value selected the one most prevalent in the sample series.</t>
  </si>
  <si>
    <t xml:space="preserve">KiCad Project</t>
  </si>
  <si>
    <t xml:space="preserve">Module</t>
  </si>
  <si>
    <t xml:space="preserve">Ord?</t>
  </si>
  <si>
    <t xml:space="preserve">Package</t>
  </si>
  <si>
    <t xml:space="preserve">Vendor</t>
  </si>
  <si>
    <t xml:space="preserve">PVBCS-210603</t>
  </si>
  <si>
    <t xml:space="preserve">PVBC</t>
  </si>
  <si>
    <t xml:space="preserve">2010</t>
  </si>
  <si>
    <t xml:space="preserve">Digikey</t>
  </si>
  <si>
    <t xml:space="preserve">541-20.0PCT-ND</t>
  </si>
  <si>
    <t xml:space="preserve">20 Ohms ±1% 1W Chip Resistor 2010 (5025 Metric) Automotive AEC-Q200, Pulse Withstanding Thick Film</t>
  </si>
  <si>
    <t xml:space="preserve">CT burden resistor</t>
  </si>
  <si>
    <t xml:space="preserve">43K</t>
  </si>
  <si>
    <t xml:space="preserve">805</t>
  </si>
  <si>
    <t xml:space="preserve">541-RCS080543K0FKEACT-ND</t>
  </si>
  <si>
    <t xml:space="preserve">43 kOhms ±1% 0.4W, 2/5W Chip Resistor 0805 (2012 Metric) Automotive AEC-Q200, Pulse Withstanding Thick Film</t>
  </si>
  <si>
    <t xml:space="preserve">CT reset resistor</t>
  </si>
  <si>
    <t xml:space="preserve">470pF</t>
  </si>
  <si>
    <t xml:space="preserve">399-1133-1-ND</t>
  </si>
  <si>
    <t xml:space="preserve">470pF ±5% 50V Ceramic Capacitor C0G, NP0 0805 (2012 Metric)</t>
  </si>
  <si>
    <t xml:space="preserve">CT low pass filter</t>
  </si>
  <si>
    <t xml:space="preserve">100K</t>
  </si>
  <si>
    <t xml:space="preserve">P100CCT-ND</t>
  </si>
  <si>
    <t xml:space="preserve">RES SMD 100 OHM 1% 1/8W 0805</t>
  </si>
  <si>
    <t xml:space="preserve">TO-220-2</t>
  </si>
  <si>
    <t xml:space="preserve">MBR40250GOS-ND</t>
  </si>
  <si>
    <t xml:space="preserve">Diode Schottky 250 V 40A Through Hole TO-220-2</t>
  </si>
  <si>
    <t xml:space="preserve">Output rectifier</t>
  </si>
  <si>
    <t xml:space="preserve">1EDI60N12AFXUMA1</t>
  </si>
  <si>
    <t xml:space="preserve">SOIC-8</t>
  </si>
  <si>
    <t xml:space="preserve">1EDI60N12AFXUMA1CT-ND</t>
  </si>
  <si>
    <t xml:space="preserve">Gate Driver Magnetic Coupling  1 Channel PG-DSO-8-51</t>
  </si>
  <si>
    <t xml:space="preserve">Low side switch gate driver</t>
  </si>
  <si>
    <t xml:space="preserve">1uF</t>
  </si>
  <si>
    <t xml:space="preserve">311-3498-1-ND</t>
  </si>
  <si>
    <t xml:space="preserve">1µF ±10% 50V Ceramic Capacitor X7R 0805 (2012 Metric)</t>
  </si>
  <si>
    <t xml:space="preserve">Low side switch gate driver decoupling</t>
  </si>
  <si>
    <t xml:space="preserve">IPP220N25NFDAKSA1</t>
  </si>
  <si>
    <t xml:space="preserve">TO-220</t>
  </si>
  <si>
    <t xml:space="preserve">IPP220N25NFDAKSA1-ND</t>
  </si>
  <si>
    <t xml:space="preserve">N-Channel 250V 61A (Tc) 300W (Tc) Through Hole PG-TO220-3</t>
  </si>
  <si>
    <t xml:space="preserve">Low-side switch</t>
  </si>
  <si>
    <t xml:space="preserve">C220-025-1VE</t>
  </si>
  <si>
    <t xml:space="preserve">1 x TO220</t>
  </si>
  <si>
    <t xml:space="preserve">C220-025-1VE-ND</t>
  </si>
  <si>
    <t xml:space="preserve">Heat Sink TO-220 Aluminum  Board Level, Vertical</t>
  </si>
  <si>
    <t xml:space="preserve">Switch &amp; rectifier heat sinks</t>
  </si>
  <si>
    <t xml:space="preserve">Toroid</t>
  </si>
  <si>
    <t xml:space="preserve">495-3847-ND</t>
  </si>
  <si>
    <t xml:space="preserve">Epoxy T38 Ferrite Core Toroid Type - Length - Width 10.80mm Diameter 4.75mm Height</t>
  </si>
  <si>
    <t xml:space="preserve">CT core</t>
  </si>
  <si>
    <t xml:space="preserve">2512</t>
  </si>
  <si>
    <t xml:space="preserve">118-CRM2512-JW-200ELFCT-ND</t>
  </si>
  <si>
    <t xml:space="preserve">20 Ohms ±5% 2W Chip Resistor 2512 (6432 Metric) Current Sense Thick Film</t>
  </si>
  <si>
    <t xml:space="preserve">Rectifier snubber</t>
  </si>
  <si>
    <t xml:space="preserve">330pF</t>
  </si>
  <si>
    <t xml:space="preserve">445-175683-1-ND</t>
  </si>
  <si>
    <t xml:space="preserve">±5% 450V Ceramic Capacitor C0G, NP0 0805 (2012 Metric)</t>
  </si>
  <si>
    <t xml:space="preserve">100uH</t>
  </si>
  <si>
    <t xml:space="preserve">SMD</t>
  </si>
  <si>
    <t xml:space="preserve">M8422CT-ND</t>
  </si>
  <si>
    <t xml:space="preserve">100 µH Unshielded Wirewound Inductor 970 mA 350mOhm Nonstandard</t>
  </si>
  <si>
    <t xml:space="preserve">Lossless snubber</t>
  </si>
  <si>
    <t xml:space="preserve">1nF</t>
  </si>
  <si>
    <t xml:space="preserve">445-15299-1-ND</t>
  </si>
  <si>
    <t xml:space="preserve">1000 pF ±5% 450V Ceramic Capacitor C0G, NP0 0805 (2012 Metric)</t>
  </si>
  <si>
    <t xml:space="preserve">ES3FB R5G</t>
  </si>
  <si>
    <t xml:space="preserve">SMB</t>
  </si>
  <si>
    <t xml:space="preserve">ES3FBR5GCT-ND</t>
  </si>
  <si>
    <t xml:space="preserve">Diode Standard 300V 3A Surface Mount DO-214AA (SMB)</t>
  </si>
  <si>
    <t xml:space="preserve">S115FA</t>
  </si>
  <si>
    <t xml:space="preserve">SOD-123</t>
  </si>
  <si>
    <t xml:space="preserve">S115FACT-ND</t>
  </si>
  <si>
    <t xml:space="preserve">DIODE SCHOTTKY 150V 1A SOD123FA</t>
  </si>
  <si>
    <t xml:space="preserve">Lossless snubber, CT rectifier</t>
  </si>
  <si>
    <t xml:space="preserve">10uF</t>
  </si>
  <si>
    <t xml:space="preserve">1210</t>
  </si>
  <si>
    <t xml:space="preserve">1276-3388-1-ND</t>
  </si>
  <si>
    <t xml:space="preserve">10µF ±10% 50V Ceramic Capacitor X7R 1210 (3225 Metric) </t>
  </si>
  <si>
    <t xml:space="preserve">Bulk capacitance for lossless snubber, low-side gate driver</t>
  </si>
  <si>
    <t xml:space="preserve">330uF</t>
  </si>
  <si>
    <t xml:space="preserve">E7-5,18</t>
  </si>
  <si>
    <t xml:space="preserve">DC_IN bulk capacitance</t>
  </si>
  <si>
    <t xml:space="preserve">2220</t>
  </si>
  <si>
    <t xml:space="preserve">490-14683-1-ND</t>
  </si>
  <si>
    <t xml:space="preserve">1µF ±10% 200V Ceramic Capacitor X7R 2220 (5750 Metric)</t>
  </si>
  <si>
    <t xml:space="preserve">DC_IN, DC_OUT decoupling</t>
  </si>
  <si>
    <t xml:space="preserve">220uF</t>
  </si>
  <si>
    <t xml:space="preserve">E5-12.5</t>
  </si>
  <si>
    <t xml:space="preserve">DC_OUT bulk capacitance</t>
  </si>
  <si>
    <t xml:space="preserve">490-2451-1-ND</t>
  </si>
  <si>
    <t xml:space="preserve">THERM NTC 100KOHM 4250K 0805</t>
  </si>
  <si>
    <t xml:space="preserve">Output rectifier temperature sense</t>
  </si>
  <si>
    <t xml:space="preserve">28K</t>
  </si>
  <si>
    <t xml:space="preserve">P28.0KCCT-ND</t>
  </si>
  <si>
    <t xml:space="preserve">RES SMD 28K OHM 1% 1/8W 0805</t>
  </si>
  <si>
    <t xml:space="preserve">1.5uF</t>
  </si>
  <si>
    <t xml:space="preserve">Radial</t>
  </si>
  <si>
    <t xml:space="preserve">C_ac, snubber</t>
  </si>
  <si>
    <t xml:space="preserve">120V</t>
  </si>
  <si>
    <t xml:space="preserve">1SMB5951BT3GOSCT-ND</t>
  </si>
  <si>
    <t xml:space="preserve">Zener Diode 120V 3W ±5% Surface Mount SMB</t>
  </si>
  <si>
    <t xml:space="preserve">2817</t>
  </si>
  <si>
    <t xml:space="preserve">1 ±1% 4W Chip Resistor Nonstandard - Thick Film</t>
  </si>
  <si>
    <t xml:space="preserve">B65815E0160A041</t>
  </si>
  <si>
    <t xml:space="preserve">RM12</t>
  </si>
  <si>
    <t xml:space="preserve">495-5293-ND</t>
  </si>
  <si>
    <t xml:space="preserve">Uncoated N41 Ferrite Core RM Type 37.60mm Length 16.10mm Width  Diameter 12.30mm Height</t>
  </si>
  <si>
    <t xml:space="preserve">Coupled inductor</t>
  </si>
  <si>
    <t xml:space="preserve">B65816C1512T001</t>
  </si>
  <si>
    <t xml:space="preserve">495-5303-ND</t>
  </si>
  <si>
    <t xml:space="preserve">BOBBIN COIL FORMER RM 12</t>
  </si>
  <si>
    <t xml:space="preserve">B65816A2002X000</t>
  </si>
  <si>
    <t xml:space="preserve">495-5302-ND</t>
  </si>
  <si>
    <t xml:space="preserve">CLAMP RM 12</t>
  </si>
  <si>
    <t xml:space="preserve">PVBB-210518</t>
  </si>
  <si>
    <t xml:space="preserve">PVBB</t>
  </si>
  <si>
    <t xml:space="preserve">IPD122N10N3GATMA1</t>
  </si>
  <si>
    <t xml:space="preserve">TO-252-3</t>
  </si>
  <si>
    <t xml:space="preserve">IPD122N10N3GATMA1CT-ND</t>
  </si>
  <si>
    <t xml:space="preserve">N-Channel 100 V 59A (Tc) 94W (Tc) Surface Mount PG-TO252-3</t>
  </si>
  <si>
    <t xml:space="preserve">Bidirectional flyback</t>
  </si>
  <si>
    <t xml:space="preserve">STPS5H100</t>
  </si>
  <si>
    <t xml:space="preserve">DPAK</t>
  </si>
  <si>
    <t xml:space="preserve">497-6587-1-ND</t>
  </si>
  <si>
    <t xml:space="preserve">DIODE SCHOTTKY 100V 5A DPAK</t>
  </si>
  <si>
    <t xml:space="preserve">RHM7.50AECT-ND</t>
  </si>
  <si>
    <t xml:space="preserve">7.5 Ohms ±1% 0.4W, 2/5W Chip Resistor 0805 (2012 Metric) Automotive AEC-Q200, Pulse Withstanding Thick Film</t>
  </si>
  <si>
    <t xml:space="preserve">Bidirectional flyback gate drive</t>
  </si>
  <si>
    <t xml:space="preserve">WSLE-.02CT-ND</t>
  </si>
  <si>
    <t xml:space="preserve">20 mOhms ±1% 0.5W, 1/2W Chip Resistor 2010 (5025 Metric) Anti-Sulfur, Automotive AEC-Q200, Current Sense, Moisture Resistant, Pulse Withstanding Metal Element</t>
  </si>
  <si>
    <t xml:space="preserve">Bidirectional flyback current sense</t>
  </si>
  <si>
    <t xml:space="preserve">TS12A44514DR</t>
  </si>
  <si>
    <t xml:space="preserve">14-SOIC</t>
  </si>
  <si>
    <t xml:space="preserve">296-23620-1-ND</t>
  </si>
  <si>
    <t xml:space="preserve">4 Circuit IC Switch 1:1 10Ohm 14-SOIC</t>
  </si>
  <si>
    <t xml:space="preserve">Battery voltage sense</t>
  </si>
  <si>
    <t xml:space="preserve">100uF</t>
  </si>
  <si>
    <t xml:space="preserve">493-13783-1-ND</t>
  </si>
  <si>
    <t xml:space="preserve">100 µF 63 V Aluminum - Polymer Capacitors Radial, Can - SMD 24mOhm 4000 Hrs @ 125°C</t>
  </si>
  <si>
    <t xml:space="preserve">TS12A44514DR bulk / decoupling</t>
  </si>
  <si>
    <t xml:space="preserve">P100KCCT-ND</t>
  </si>
  <si>
    <t xml:space="preserve">RES SMD 100K OHM 1% 1/8W 0805</t>
  </si>
  <si>
    <t xml:space="preserve">TS12A44514DR COM pin charge drain</t>
  </si>
  <si>
    <t xml:space="preserve">1K</t>
  </si>
  <si>
    <t xml:space="preserve">P1.00KCCT-ND</t>
  </si>
  <si>
    <t xml:space="preserve">RES SMD 1K OHM 1% 1/8W 0805</t>
  </si>
  <si>
    <t xml:space="preserve">TS12A44514DR input pins (battery sense) low-pass filter</t>
  </si>
  <si>
    <t xml:space="preserve">100pF</t>
  </si>
  <si>
    <t xml:space="preserve">399-17420-1-ND</t>
  </si>
  <si>
    <t xml:space="preserve">±5% 50V Ceramic Capacitor X7R 0805 (2012 Metric)</t>
  </si>
  <si>
    <t xml:space="preserve">SI8712AC-B-IS</t>
  </si>
  <si>
    <t xml:space="preserve">336-2383-ND</t>
  </si>
  <si>
    <t xml:space="preserve">General Purpose Digital Isolator 3750Vrms 1 Channel 15Mbps 20kV/µs CMTI 8-SOIC (0.154", 3.90mm Width)</t>
  </si>
  <si>
    <t xml:space="preserve">Digital isolator for battery cell flyback</t>
  </si>
  <si>
    <t xml:space="preserve">FAN3100CMPX</t>
  </si>
  <si>
    <t xml:space="preserve">WDFN6</t>
  </si>
  <si>
    <t xml:space="preserve">FAN3100CMPXCT-ND</t>
  </si>
  <si>
    <t xml:space="preserve">Low-Side Gate Driver IC Inverting, Non-Inverting 6-MicroFET (2x2)</t>
  </si>
  <si>
    <t xml:space="preserve">Gate drive for isolated battery cell flyback</t>
  </si>
  <si>
    <t xml:space="preserve">FAN3100TMPX</t>
  </si>
  <si>
    <t xml:space="preserve">FAN3100TMPXCT-ND</t>
  </si>
  <si>
    <t xml:space="preserve">Gate drive for balance bus flyback</t>
  </si>
  <si>
    <t xml:space="preserve">ZXMP6A13FQTA</t>
  </si>
  <si>
    <t xml:space="preserve">SOT-23</t>
  </si>
  <si>
    <t xml:space="preserve">ZXMP6A13FQTADICT-ND</t>
  </si>
  <si>
    <t xml:space="preserve">P-Channel 60 V 900mA (Ta) 625mW (Ta) Surface Mount SOT-23</t>
  </si>
  <si>
    <t xml:space="preserve">Gate turn-on drive</t>
  </si>
  <si>
    <t xml:space="preserve">NCV391SN2T1G</t>
  </si>
  <si>
    <t xml:space="preserve">5-TSOP</t>
  </si>
  <si>
    <t xml:space="preserve">NCV391SN2T1GOSCT-ND</t>
  </si>
  <si>
    <t xml:space="preserve">Comparator General Purpose - 5-TSOP</t>
  </si>
  <si>
    <t xml:space="preserve">Over-current sense comparator</t>
  </si>
  <si>
    <t xml:space="preserve">5K</t>
  </si>
  <si>
    <t xml:space="preserve">1206</t>
  </si>
  <si>
    <t xml:space="preserve">YAG5090CT-ND</t>
  </si>
  <si>
    <t xml:space="preserve">5 kOhms ±0.1% 0.25W, 1/4W Chip Resistor 1206 (3216 Metric) - Thin Film</t>
  </si>
  <si>
    <t xml:space="preserve">Battery voltage sense Vdiv top</t>
  </si>
  <si>
    <t xml:space="preserve">YAG1820CT-ND</t>
  </si>
  <si>
    <t xml:space="preserve">1 kOhms ±0.1% 0.125W, 1/8W Chip Resistor 0805 (2012 Metric) - Thin Film</t>
  </si>
  <si>
    <t xml:space="preserve">Battery voltage sense Vdiv bottom</t>
  </si>
  <si>
    <t xml:space="preserve">2nF</t>
  </si>
  <si>
    <t xml:space="preserve">478-6042-1-ND</t>
  </si>
  <si>
    <t xml:space="preserve">CAP CER 2000PF 100V X7R 0805</t>
  </si>
  <si>
    <t xml:space="preserve">Bidirectional flyback snubber</t>
  </si>
  <si>
    <t xml:space="preserve">541-4.99TCT-ND</t>
  </si>
  <si>
    <t xml:space="preserve">4.99 Ohms ±1% 0.5W, 1/2W Chip Resistor 0805 (2012 Metric) Automotive AEC-Q200, Pulse Withstanding Thick Film</t>
  </si>
  <si>
    <t xml:space="preserve">Flyback (balance bus &amp; stack) bulk capacitance / ripple current filtering</t>
  </si>
  <si>
    <t xml:space="preserve">1276-3093-1-ND</t>
  </si>
  <si>
    <t xml:space="preserve">1 µF ±10% 50V Ceramic Capacitor X7R 1206 (3216 Metric)</t>
  </si>
  <si>
    <t xml:space="preserve">Flyback (balance bus &amp; stack) decoupling caps supporting bulk capacitance</t>
  </si>
  <si>
    <t xml:space="preserve">Bulk capacitance for gate drivers</t>
  </si>
  <si>
    <t xml:space="preserve">Bulk / decoupling for TS12A44514DR analog switch</t>
  </si>
  <si>
    <t xml:space="preserve">Bulk / decoupling caps for current sense comparators</t>
  </si>
  <si>
    <t xml:space="preserve">Bulk / decoupling caps for gate drive isolators</t>
  </si>
  <si>
    <t xml:space="preserve">P499CCT-ND</t>
  </si>
  <si>
    <t xml:space="preserve">RES SMD 499 OHM 1% 1/8W 0805</t>
  </si>
  <si>
    <t xml:space="preserve">Controller digital isolator current limit</t>
  </si>
  <si>
    <t xml:space="preserve">OPA2197IDR</t>
  </si>
  <si>
    <t xml:space="preserve">296-44779-5-ND</t>
  </si>
  <si>
    <t xml:space="preserve">General Purpose Amplifier 2 Circuit Rail-to-Rail 8-SOIC</t>
  </si>
  <si>
    <t xml:space="preserve">Battery voltage sense differential amplifier</t>
  </si>
  <si>
    <t xml:space="preserve">10K</t>
  </si>
  <si>
    <t xml:space="preserve">P10KBSCT-ND</t>
  </si>
  <si>
    <t xml:space="preserve">10 kOhms ±0.05% 0.125W, 1/8W Chip Resistor 0805 (2012 Metric) Automotive AEC-Q200 Thin Film</t>
  </si>
  <si>
    <t xml:space="preserve">Battery voltage sense differential amplifier precision resistors</t>
  </si>
  <si>
    <t xml:space="preserve">Bulk / decoupling caps for differential amp</t>
  </si>
  <si>
    <t xml:space="preserve">BBUS voltage sense Vdiv top</t>
  </si>
  <si>
    <t xml:space="preserve">BBUS voltage sense Vdiv bottom</t>
  </si>
  <si>
    <t xml:space="preserve">100nF</t>
  </si>
  <si>
    <t xml:space="preserve">399-6925-1-ND</t>
  </si>
  <si>
    <t xml:space="preserve">0.1 µF ±5% 50V Ceramic Capacitor X7R 0805 (2012 Metric)</t>
  </si>
  <si>
    <t xml:space="preserve">VS_BBUS decoupling</t>
  </si>
  <si>
    <t xml:space="preserve">Differential amp output overshoot damping</t>
  </si>
  <si>
    <t xml:space="preserve">15pF</t>
  </si>
  <si>
    <t xml:space="preserve">1276-1163-1-ND</t>
  </si>
  <si>
    <t xml:space="preserve">Cap ceramic 15pF, 50V, NP0, 0805</t>
  </si>
  <si>
    <t xml:space="preserve">SD0805S040S0R5</t>
  </si>
  <si>
    <t xml:space="preserve">478-7802-1-ND</t>
  </si>
  <si>
    <t xml:space="preserve">Diode Schottky 40V 500mA (DC) Surface Mount 0805 (2012 Metric)</t>
  </si>
  <si>
    <t xml:space="preserve">Gate drive positive feedback and controller gate drive blocking</t>
  </si>
  <si>
    <t xml:space="preserve">5.1K</t>
  </si>
  <si>
    <t xml:space="preserve">P5.10KCCT-ND</t>
  </si>
  <si>
    <t xml:space="preserve">RES SMD 5.1K OHM 1% 1/8W 0805</t>
  </si>
  <si>
    <t xml:space="preserve">Vref top current limit</t>
  </si>
  <si>
    <t xml:space="preserve">P49.9CCT-ND</t>
  </si>
  <si>
    <t xml:space="preserve">RES SMD 49.9 OHM 1% 1/8W 0805</t>
  </si>
  <si>
    <t xml:space="preserve">Vref bottom current limit</t>
  </si>
  <si>
    <t xml:space="preserve">3K</t>
  </si>
  <si>
    <t xml:space="preserve">P3.0KCCT-ND</t>
  </si>
  <si>
    <t xml:space="preserve">RES SMD 3K OHM 1% 1/8W 0805</t>
  </si>
  <si>
    <t xml:space="preserve">Gate drive (+) input current limit</t>
  </si>
  <si>
    <t xml:space="preserve">P10.0KCCT-ND</t>
  </si>
  <si>
    <t xml:space="preserve">RES SMD 10K OHM 1% 1/8W 0805</t>
  </si>
  <si>
    <t xml:space="preserve">Gate drive (+) input pull-down</t>
  </si>
  <si>
    <t xml:space="preserve">1.5K</t>
  </si>
  <si>
    <t xml:space="preserve">P1.50KCCT-ND</t>
  </si>
  <si>
    <t xml:space="preserve">RES SMD 1.5K OHM 1% 1/8W 0805</t>
  </si>
  <si>
    <t xml:space="preserve">Isolator PFET pull-up</t>
  </si>
  <si>
    <t xml:space="preserve">5.1V</t>
  </si>
  <si>
    <t xml:space="preserve">SOD-323F</t>
  </si>
  <si>
    <t xml:space="preserve">641-1061-1-ND</t>
  </si>
  <si>
    <t xml:space="preserve">Zener Diode 5.1V 200mW ±5% Surface Mount 1005/SOD-323F</t>
  </si>
  <si>
    <t xml:space="preserve">Isolator PFET gate protection</t>
  </si>
  <si>
    <t xml:space="preserve">Current sense low-pass filter</t>
  </si>
  <si>
    <t xml:space="preserve">5A</t>
  </si>
  <si>
    <t xml:space="preserve">2410</t>
  </si>
  <si>
    <t xml:space="preserve">283-5184-1-ND</t>
  </si>
  <si>
    <t xml:space="preserve">5 A 125 V AC 125 V DC Fuse Board Mount (Cartridge Style Excluded) Surface Mount 2-SMD, Square End Block</t>
  </si>
  <si>
    <t xml:space="preserve">Charge balancer fuse</t>
  </si>
  <si>
    <t xml:space="preserve">Battery voltage condition indicator: digital isolator</t>
  </si>
  <si>
    <t xml:space="preserve">DMN53D0LQ</t>
  </si>
  <si>
    <t xml:space="preserve">DMN53D0LQ-7DICT-ND</t>
  </si>
  <si>
    <t xml:space="preserve">MOSFET N-CH 50V 500MA SOT23 </t>
  </si>
  <si>
    <t xml:space="preserve">Battery voltage condition indicator: isolator drive turn-off for high voltage</t>
  </si>
  <si>
    <t xml:space="preserve">RHM3.00KAECT-ND</t>
  </si>
  <si>
    <t xml:space="preserve">3 kOhms ±1% 0.4W, 2/5W Chip Resistor 0805 (2012 Metric) Automotive AEC-Q200, Pulse Withstanding Thick Film</t>
  </si>
  <si>
    <t xml:space="preserve">Battery voltage condition indicator: isolator drive current limit</t>
  </si>
  <si>
    <t xml:space="preserve">15V</t>
  </si>
  <si>
    <t xml:space="preserve">SOD123</t>
  </si>
  <si>
    <t xml:space="preserve">BZT52C15-FDICT-ND</t>
  </si>
  <si>
    <t xml:space="preserve">Zener Diode 15V 500mW ±6% Surface Mount SOD-123</t>
  </si>
  <si>
    <t xml:space="preserve">Battery voltage condition indicator: high voltage limit</t>
  </si>
  <si>
    <t xml:space="preserve">Battery voltage condition indicator: isolator decoupling</t>
  </si>
  <si>
    <t xml:space="preserve">Battery voltage condition indicator: gate pull-down / zener voltage drop</t>
  </si>
  <si>
    <t xml:space="preserve">Battery voltage condition indicator: logic out smooting</t>
  </si>
  <si>
    <t xml:space="preserve">Battery voltage condition indicator: logic out decoupling</t>
  </si>
  <si>
    <t xml:space="preserve">17V</t>
  </si>
  <si>
    <t xml:space="preserve">DO-15</t>
  </si>
  <si>
    <t xml:space="preserve">1N5354BGOS-ND</t>
  </si>
  <si>
    <t xml:space="preserve">Zener Diode 17 V 5 W ±5% Through Hole Axial</t>
  </si>
  <si>
    <t xml:space="preserve">Battery high voltage protection shunt</t>
  </si>
  <si>
    <t xml:space="preserve">GRPB031VWVN-RC</t>
  </si>
  <si>
    <t xml:space="preserve">1.27x3 Header</t>
  </si>
  <si>
    <t xml:space="preserve">S9014E-03-ND</t>
  </si>
  <si>
    <t xml:space="preserve">Connector Header Through Hole 3 position 0.050" (1.27mm)</t>
  </si>
  <si>
    <t xml:space="preserve">ICSP &amp; RS232 / I2C selector</t>
  </si>
  <si>
    <t xml:space="preserve">NPB02SVAN-RC</t>
  </si>
  <si>
    <t xml:space="preserve">1.27x3 Shunt</t>
  </si>
  <si>
    <t xml:space="preserve">S9345-ND</t>
  </si>
  <si>
    <t xml:space="preserve">2 (1 x 2) Position Shunt Connector - Closed Top 0.050" (1.27mm) Gold</t>
  </si>
  <si>
    <t xml:space="preserve">Vdd bulk capacitance at power connection header for balancer board</t>
  </si>
  <si>
    <t xml:space="preserve">Vcc bulk capacitance at power connection header for balancer board</t>
  </si>
  <si>
    <t xml:space="preserve">PVBCB-210218</t>
  </si>
  <si>
    <t xml:space="preserve">Back Plane</t>
  </si>
  <si>
    <t xml:space="preserve">B82559A0302A013</t>
  </si>
  <si>
    <t xml:space="preserve">495-1864-1-ND</t>
  </si>
  <si>
    <t xml:space="preserve">FIXED IND 3UH 13A 4 MOHM SMD</t>
  </si>
  <si>
    <t xml:space="preserve">DCIN, DCOUT differential mode filter</t>
  </si>
  <si>
    <t xml:space="preserve">12.5A</t>
  </si>
  <si>
    <t xml:space="preserve">5x20mm</t>
  </si>
  <si>
    <t xml:space="preserve">486-1769-ND</t>
  </si>
  <si>
    <t xml:space="preserve">12.5A 250V AC 125V DC Fuse Cartridge, Ceramic Holder 5mm x 20mm</t>
  </si>
  <si>
    <t xml:space="preserve">DCIN, DCOUT fuse</t>
  </si>
  <si>
    <t xml:space="preserve">ACS724LLCTR-20AU-T</t>
  </si>
  <si>
    <t xml:space="preserve">620-1721-1-ND</t>
  </si>
  <si>
    <t xml:space="preserve">Current Sensor 20A 1 Channel Hall Effect, Open Loop Unidirectional 8-SOIC (0.154", 3.90mm Width)</t>
  </si>
  <si>
    <t xml:space="preserve">DCIN, DCOUT current sense</t>
  </si>
  <si>
    <t xml:space="preserve">DCIN, DCOUT current sensor bandwidth select</t>
  </si>
  <si>
    <t xml:space="preserve">DCIN, DCOUT current sensor decoupling</t>
  </si>
  <si>
    <t xml:space="preserve">DCIN, DCOUT decoupling</t>
  </si>
  <si>
    <t xml:space="preserve">DCIN bulk capacitance</t>
  </si>
  <si>
    <t xml:space="preserve">10.5K</t>
  </si>
  <si>
    <t xml:space="preserve">P10.5KAACT-ND</t>
  </si>
  <si>
    <t xml:space="preserve">10.5 kOhms ±1% 0.5W, 1/2W Chip Resistor 1210 (3225 Metric) Automotive AEC-Q200 Thick Film</t>
  </si>
  <si>
    <t xml:space="preserve">DCIN, DCOUT voltage sense divider top</t>
  </si>
  <si>
    <t xml:space="preserve">P806CCT-ND</t>
  </si>
  <si>
    <t xml:space="preserve">RES SMD 806 OHM 1% 1/8W 0805</t>
  </si>
  <si>
    <t xml:space="preserve">DCIN, DCOUT voltage sense divider bottom</t>
  </si>
  <si>
    <t xml:space="preserve">SRP7050TA-5R6M</t>
  </si>
  <si>
    <t xml:space="preserve">SRP7050TA-5R6MCT-ND</t>
  </si>
  <si>
    <t xml:space="preserve">Shielded Wirewound Inductor 49mOhm Max Nonstandard</t>
  </si>
  <si>
    <t xml:space="preserve">BBUS differential mode filter</t>
  </si>
  <si>
    <t xml:space="preserve">BBAT fuse</t>
  </si>
  <si>
    <t xml:space="preserve">BBAT voltage sense divider top</t>
  </si>
  <si>
    <t xml:space="preserve">BBAT voltage sense divider bottom</t>
  </si>
  <si>
    <t xml:space="preserve">E5-10</t>
  </si>
  <si>
    <t xml:space="preserve">493-1609-ND</t>
  </si>
  <si>
    <t xml:space="preserve">220µF 50V Aluminum Electrolytic Capacitors Radial, Can  7000 Hrs @ 105°C</t>
  </si>
  <si>
    <t xml:space="preserve">BBAT bulk capacitance</t>
  </si>
  <si>
    <t xml:space="preserve">BBAT decoupling</t>
  </si>
  <si>
    <t xml:space="preserve">SEPIC &amp; Balancer power supply decoupling @ connectors</t>
  </si>
  <si>
    <t xml:space="preserve">SCWN06A-12</t>
  </si>
  <si>
    <t xml:space="preserve">DIP</t>
  </si>
  <si>
    <t xml:space="preserve">1866-5071-ND</t>
  </si>
  <si>
    <t xml:space="preserve">Isolated Module DC DC Converter 1 Output 12V    500mA 9V - 18V Input</t>
  </si>
  <si>
    <t xml:space="preserve">12V DC bias supply</t>
  </si>
  <si>
    <t xml:space="preserve">LM5161</t>
  </si>
  <si>
    <t xml:space="preserve">Thru-hole</t>
  </si>
  <si>
    <t xml:space="preserve">Custom assembly</t>
  </si>
  <si>
    <t xml:space="preserve">12V DC IN – 5V DC OUT, 1A, buck regulator</t>
  </si>
  <si>
    <t xml:space="preserve">5V DC bias supply</t>
  </si>
  <si>
    <t xml:space="preserve">5V DC bias supply decoupling</t>
  </si>
  <si>
    <t xml:space="preserve">445-7932-1-ND</t>
  </si>
  <si>
    <t xml:space="preserve">10µF ±10% 50V Ceramic Capacitor X7R 2220 (5750 Metric)</t>
  </si>
  <si>
    <t xml:space="preserve">12V DC bias supply bulk / decoupling</t>
  </si>
  <si>
    <t xml:space="preserve">PIC16F1776</t>
  </si>
  <si>
    <t xml:space="preserve">SSOP-28</t>
  </si>
  <si>
    <t xml:space="preserve">PIC16F1776-E/SS-ND</t>
  </si>
  <si>
    <t xml:space="preserve">PIC PIC® XLP™ 16F Microcontroller IC 8-Bit 32MHz 14KB (8K x 14) FLASH 28-SSOP</t>
  </si>
  <si>
    <t xml:space="preserve">Master controller: backplane, SEPIC cards.</t>
  </si>
  <si>
    <t xml:space="preserve">Master controller bulk capacitance</t>
  </si>
  <si>
    <t xml:space="preserve">Master controller decoupling</t>
  </si>
  <si>
    <t xml:space="preserve">Master controller current sense input current limit</t>
  </si>
  <si>
    <t xml:space="preserve">36-5000-ND</t>
  </si>
  <si>
    <t xml:space="preserve">Red PC Test Point, Miniature Phosphor Bronze, Silver Plating 0.040" (1.02mm) Hole Diameter Mounting Type</t>
  </si>
  <si>
    <t xml:space="preserve">Master controller signal line test points</t>
  </si>
  <si>
    <t xml:space="preserve">LM4040C50FTA</t>
  </si>
  <si>
    <t xml:space="preserve">LM4040C50FCT-ND</t>
  </si>
  <si>
    <t xml:space="preserve">Shunt Voltage Reference IC ±0.5% SOT-23</t>
  </si>
  <si>
    <t xml:space="preserve">Precision voltage reference for ADC, DAC</t>
  </si>
  <si>
    <t xml:space="preserve">Precision voltage reference current limit &amp; low pass filter</t>
  </si>
  <si>
    <t xml:space="preserve">Precision voltage reference decoupling, low pass filter</t>
  </si>
  <si>
    <t xml:space="preserve">APBL3025ESGC-F01</t>
  </si>
  <si>
    <t xml:space="preserve">4-SMD</t>
  </si>
  <si>
    <t xml:space="preserve">754-1078-1-ND</t>
  </si>
  <si>
    <t xml:space="preserve">Green, Red 568nm Green, 617nm Red LED Indication - Discrete 2.2V Green, 2V Red 4-SMD, No Lead</t>
  </si>
  <si>
    <t xml:space="preserve">Status LED</t>
  </si>
  <si>
    <t xml:space="preserve">Status LED current limit</t>
  </si>
  <si>
    <t xml:space="preserve">Low pass filters for voltage, current, temp sense</t>
  </si>
  <si>
    <t xml:space="preserve">ZX62-AB-5PA(31)</t>
  </si>
  <si>
    <t xml:space="preserve">Shell SMT</t>
  </si>
  <si>
    <t xml:space="preserve">H125279CT-ND</t>
  </si>
  <si>
    <t xml:space="preserve">CONN RCPT USB MICRO AB SMD R/A</t>
  </si>
  <si>
    <t xml:space="preserve">Console / ICSP jack</t>
  </si>
  <si>
    <t xml:space="preserve">Console / ICSP decoupling</t>
  </si>
  <si>
    <t xml:space="preserve">Error amp compensation network</t>
  </si>
  <si>
    <t xml:space="preserve">P549CCT-ND</t>
  </si>
  <si>
    <t xml:space="preserve">RES SMD 549 OHM 1% 1/8W 0805</t>
  </si>
  <si>
    <t xml:space="preserve">82nF</t>
  </si>
  <si>
    <t xml:space="preserve">311-4285-1-ND</t>
  </si>
  <si>
    <t xml:space="preserve">CAP CER 0.082UF 50V X7R 0805</t>
  </si>
  <si>
    <t xml:space="preserve">18nF</t>
  </si>
  <si>
    <t xml:space="preserve">311-1137-1-ND </t>
  </si>
  <si>
    <t xml:space="preserve">0.018µF ±10% 50V Ceramic Capacitor X7R 0805 (2012 Metric)</t>
  </si>
  <si>
    <t xml:space="preserve">Diameter</t>
  </si>
  <si>
    <t xml:space="preserve">Turns of wire,
no insulation</t>
  </si>
  <si>
    <t xml:space="preserve">Area</t>
  </si>
  <si>
    <t xml:space="preserve">Copper Resistance</t>
  </si>
  <si>
    <t xml:space="preserve">(in)</t>
  </si>
  <si>
    <t xml:space="preserve">Bare
(mm)</t>
  </si>
  <si>
    <t xml:space="preserve">With Insul
(mm)</t>
  </si>
  <si>
    <t xml:space="preserve">(per in)</t>
  </si>
  <si>
    <t xml:space="preserve">(per cm)</t>
  </si>
  <si>
    <t xml:space="preserve">(kcmil)</t>
  </si>
  <si>
    <r>
      <rPr>
        <b val="true"/>
        <sz val="12"/>
        <color rgb="FF000000"/>
        <rFont val="Calibri"/>
        <family val="2"/>
      </rPr>
      <t xml:space="preserve">(cm</t>
    </r>
    <r>
      <rPr>
        <b val="true"/>
        <vertAlign val="superscript"/>
        <sz val="12"/>
        <color rgb="FF000000"/>
        <rFont val="Calibri"/>
        <family val="2"/>
      </rPr>
      <t xml:space="preserve">2</t>
    </r>
    <r>
      <rPr>
        <b val="true"/>
        <sz val="12"/>
        <color rgb="FF000000"/>
        <rFont val="Calibri"/>
        <family val="2"/>
      </rPr>
      <t xml:space="preserve">)</t>
    </r>
  </si>
  <si>
    <r>
      <rPr>
        <b val="true"/>
        <sz val="12"/>
        <color rgb="FF000000"/>
        <rFont val="Calibri"/>
        <family val="2"/>
      </rPr>
      <t xml:space="preserve">(mm</t>
    </r>
    <r>
      <rPr>
        <b val="true"/>
        <vertAlign val="superscript"/>
        <sz val="12"/>
        <color rgb="FF000000"/>
        <rFont val="Calibri"/>
        <family val="2"/>
      </rPr>
      <t xml:space="preserve">2</t>
    </r>
    <r>
      <rPr>
        <b val="true"/>
        <sz val="12"/>
        <color rgb="FF000000"/>
        <rFont val="Calibri"/>
        <family val="2"/>
      </rPr>
      <t xml:space="preserve">)</t>
    </r>
  </si>
  <si>
    <t xml:space="preserve">(mΩ/m)</t>
  </si>
  <si>
    <t xml:space="preserve">(uΩ/cm)</t>
  </si>
  <si>
    <t xml:space="preserve">(mΩ/ft)</t>
  </si>
</sst>
</file>

<file path=xl/styles.xml><?xml version="1.0" encoding="utf-8"?>
<styleSheet xmlns="http://schemas.openxmlformats.org/spreadsheetml/2006/main">
  <numFmts count="39">
    <numFmt numFmtId="164" formatCode="General"/>
    <numFmt numFmtId="165" formatCode="#,###.000"/>
    <numFmt numFmtId="166" formatCode="0.000%"/>
    <numFmt numFmtId="167" formatCode="##0.00E+00"/>
    <numFmt numFmtId="168" formatCode="#,##0.000"/>
    <numFmt numFmtId="169" formatCode="0.000E+00"/>
    <numFmt numFmtId="170" formatCode="0"/>
    <numFmt numFmtId="171" formatCode="0.000"/>
    <numFmt numFmtId="172" formatCode="0.00%"/>
    <numFmt numFmtId="173" formatCode="General"/>
    <numFmt numFmtId="174" formatCode="#,##0"/>
    <numFmt numFmtId="175" formatCode="#,##0.00"/>
    <numFmt numFmtId="176" formatCode="#,##0.00000"/>
    <numFmt numFmtId="177" formatCode="0.0000E+00"/>
    <numFmt numFmtId="178" formatCode="0.00"/>
    <numFmt numFmtId="179" formatCode="#,##0\ ;\(#,##0\)"/>
    <numFmt numFmtId="180" formatCode="@"/>
    <numFmt numFmtId="181" formatCode="\ * #,##0.00\ ;\ * \(#,##0.00\);\ * \-#\ ;\ @\ "/>
    <numFmt numFmtId="182" formatCode="\ * #,##0\ ;\-* #,##0\ ;\ * \-#\ ;\ @\ "/>
    <numFmt numFmtId="183" formatCode="0.00E+00"/>
    <numFmt numFmtId="184" formatCode="0.0000"/>
    <numFmt numFmtId="185" formatCode="0.00000E+00"/>
    <numFmt numFmtId="186" formatCode="0.00000000"/>
    <numFmt numFmtId="187" formatCode="mm/dd/yy"/>
    <numFmt numFmtId="188" formatCode="\ * #,##0\ ;\ * \(#,##0\);\ * \-#\ ;\ @\ "/>
    <numFmt numFmtId="189" formatCode="0.000E+00;\\"/>
    <numFmt numFmtId="190" formatCode="0.00000"/>
    <numFmt numFmtId="191" formatCode="0%"/>
    <numFmt numFmtId="192" formatCode="0.00000%"/>
    <numFmt numFmtId="193" formatCode="0.000000"/>
    <numFmt numFmtId="194" formatCode="\ * #,##0.0000\ ;\-* #,##0.0000\ ;\ * \-#\ ;\ @\ "/>
    <numFmt numFmtId="195" formatCode="#,##0.0000"/>
    <numFmt numFmtId="196" formatCode="m/d/yy"/>
    <numFmt numFmtId="197" formatCode="h:mm"/>
    <numFmt numFmtId="198" formatCode="0.0"/>
    <numFmt numFmtId="199" formatCode="0.000000E+00"/>
    <numFmt numFmtId="200" formatCode="d\-mmm"/>
    <numFmt numFmtId="201" formatCode="#%"/>
    <numFmt numFmtId="202" formatCode="0.0000000"/>
  </numFmts>
  <fonts count="3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FreeMono"/>
      <family val="3"/>
    </font>
    <font>
      <b val="true"/>
      <sz val="12"/>
      <name val="Arial"/>
      <family val="2"/>
    </font>
    <font>
      <b val="true"/>
      <sz val="10"/>
      <name val="Arial"/>
      <family val="2"/>
    </font>
    <font>
      <b val="true"/>
      <sz val="10"/>
      <name val="FreeMono"/>
      <family val="3"/>
    </font>
    <font>
      <sz val="10"/>
      <color rgb="FF000000"/>
      <name val="Arial"/>
      <family val="2"/>
    </font>
    <font>
      <u val="single"/>
      <sz val="10"/>
      <name val="Arial"/>
      <family val="2"/>
    </font>
    <font>
      <b val="true"/>
      <sz val="10"/>
      <color rgb="FF000000"/>
      <name val="Arial"/>
      <family val="2"/>
    </font>
    <font>
      <sz val="10"/>
      <name val="Lohit Devanagari"/>
      <family val="2"/>
    </font>
    <font>
      <b val="true"/>
      <vertAlign val="subscript"/>
      <sz val="10"/>
      <color rgb="FF000000"/>
      <name val="Arial"/>
      <family val="2"/>
    </font>
    <font>
      <sz val="12"/>
      <color rgb="FF000000"/>
      <name val="Calibri"/>
      <family val="2"/>
    </font>
    <font>
      <vertAlign val="subscript"/>
      <sz val="12"/>
      <color rgb="FF000000"/>
      <name val="Calibri"/>
      <family val="2"/>
    </font>
    <font>
      <vertAlign val="subscript"/>
      <sz val="10"/>
      <color rgb="FF000000"/>
      <name val="Arial"/>
      <family val="2"/>
    </font>
    <font>
      <u val="single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4"/>
      <color rgb="FF595959"/>
      <name val="Calibri"/>
      <family val="2"/>
    </font>
    <font>
      <sz val="9"/>
      <color rgb="FF595959"/>
      <name val="Calibri"/>
      <family val="2"/>
    </font>
    <font>
      <sz val="10"/>
      <color rgb="FF595959"/>
      <name val="Calibri"/>
      <family val="2"/>
    </font>
    <font>
      <vertAlign val="subscript"/>
      <sz val="12"/>
      <color rgb="FF000000"/>
      <name val="Calibri (Body)"/>
      <family val="0"/>
    </font>
    <font>
      <b val="true"/>
      <sz val="12"/>
      <color rgb="FF000000"/>
      <name val="Arial"/>
      <family val="2"/>
    </font>
    <font>
      <sz val="12"/>
      <name val="Arial"/>
      <family val="2"/>
    </font>
    <font>
      <sz val="13"/>
      <name val="Arial"/>
      <family val="2"/>
    </font>
    <font>
      <sz val="9"/>
      <name val="Arial"/>
      <family val="2"/>
    </font>
    <font>
      <b val="true"/>
      <sz val="12"/>
      <color rgb="FF000000"/>
      <name val="Calibri"/>
      <family val="2"/>
    </font>
    <font>
      <u val="single"/>
      <sz val="12"/>
      <color rgb="FF0000FF"/>
      <name val="Calibri"/>
      <family val="2"/>
    </font>
    <font>
      <b val="true"/>
      <vertAlign val="superscript"/>
      <sz val="12"/>
      <color rgb="FF000000"/>
      <name val="Calibri"/>
      <family val="2"/>
    </font>
    <font>
      <b val="true"/>
      <sz val="9"/>
      <color rgb="FF000000"/>
      <name val="Calibri"/>
      <family val="2"/>
    </font>
    <font>
      <sz val="9"/>
      <color rgb="FF00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  <fill>
      <patternFill patternType="solid">
        <fgColor rgb="FFADC5E7"/>
        <bgColor rgb="FFB4C7DC"/>
      </patternFill>
    </fill>
    <fill>
      <patternFill patternType="solid">
        <fgColor rgb="FFDDDDDD"/>
        <bgColor rgb="FFD9D9D9"/>
      </patternFill>
    </fill>
    <fill>
      <patternFill patternType="solid">
        <fgColor rgb="FF87D1D1"/>
        <bgColor rgb="FFADC5E7"/>
      </patternFill>
    </fill>
    <fill>
      <patternFill patternType="solid">
        <fgColor rgb="FF8F93C7"/>
        <bgColor rgb="FF999999"/>
      </patternFill>
    </fill>
    <fill>
      <patternFill patternType="solid">
        <fgColor rgb="FF5E8AC7"/>
        <bgColor rgb="FF4F81BD"/>
      </patternFill>
    </fill>
    <fill>
      <patternFill patternType="solid">
        <fgColor rgb="FF65C295"/>
        <bgColor rgb="FF77BC65"/>
      </patternFill>
    </fill>
    <fill>
      <patternFill patternType="solid">
        <fgColor rgb="FF89C765"/>
        <bgColor rgb="FF92D050"/>
      </patternFill>
    </fill>
    <fill>
      <patternFill patternType="solid">
        <fgColor rgb="FFFFFF00"/>
        <bgColor rgb="FFFFF200"/>
      </patternFill>
    </fill>
    <fill>
      <patternFill patternType="solid">
        <fgColor rgb="FF999999"/>
        <bgColor rgb="FF8F93C7"/>
      </patternFill>
    </fill>
    <fill>
      <patternFill patternType="solid">
        <fgColor rgb="FFCCCCCC"/>
        <bgColor rgb="FFBFBFBF"/>
      </patternFill>
    </fill>
    <fill>
      <patternFill patternType="solid">
        <fgColor rgb="FFD9D9D9"/>
        <bgColor rgb="FFDDDDDD"/>
      </patternFill>
    </fill>
    <fill>
      <patternFill patternType="solid">
        <fgColor rgb="FF77BC65"/>
        <bgColor rgb="FF89C765"/>
      </patternFill>
    </fill>
    <fill>
      <patternFill patternType="solid">
        <fgColor rgb="FFFFAA95"/>
        <bgColor rgb="FFFAC090"/>
      </patternFill>
    </fill>
    <fill>
      <patternFill patternType="solid">
        <fgColor rgb="FFE8A202"/>
        <bgColor rgb="FFFFD320"/>
      </patternFill>
    </fill>
    <fill>
      <patternFill patternType="solid">
        <fgColor rgb="FFD62E4E"/>
        <bgColor rgb="FFC0504D"/>
      </patternFill>
    </fill>
    <fill>
      <patternFill patternType="solid">
        <fgColor rgb="FFBF819E"/>
        <bgColor rgb="FF999999"/>
      </patternFill>
    </fill>
    <fill>
      <patternFill patternType="solid">
        <fgColor rgb="FFB4C7DC"/>
        <bgColor rgb="FFADC5E7"/>
      </patternFill>
    </fill>
    <fill>
      <patternFill patternType="solid">
        <fgColor rgb="FF92D050"/>
        <bgColor rgb="FF89C765"/>
      </patternFill>
    </fill>
    <fill>
      <patternFill patternType="solid">
        <fgColor rgb="FFC4BD97"/>
        <bgColor rgb="FFBFBFBF"/>
      </patternFill>
    </fill>
    <fill>
      <patternFill patternType="solid">
        <fgColor rgb="FFFAC090"/>
        <bgColor rgb="FFFFAA95"/>
      </patternFill>
    </fill>
    <fill>
      <patternFill patternType="solid">
        <fgColor rgb="FFF2F2F2"/>
        <bgColor rgb="FFDDDDDD"/>
      </patternFill>
    </fill>
  </fills>
  <borders count="4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hair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81" fontId="1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91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false" applyProtection="false"/>
  </cellStyleXfs>
  <cellXfs count="5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4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4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4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center" textRotation="90" wrapText="false" indent="0" shrinkToFit="false"/>
      <protection locked="true" hidden="false"/>
    </xf>
    <xf numFmtId="164" fontId="4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8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6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5" fontId="8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7" fontId="1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9" borderId="0" xfId="0" applyFont="true" applyBorder="false" applyAlignment="true" applyProtection="false">
      <alignment horizontal="center" vertical="center" textRotation="90" wrapText="tru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1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1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0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7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1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10" fillId="1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3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2" fontId="8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8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13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0" fillId="1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4" fontId="0" fillId="1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3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4" fontId="8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6" fillId="1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85" fontId="0" fillId="1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10" fillId="13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13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1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6" fontId="0" fillId="13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7" fontId="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82" fontId="8" fillId="13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88" fontId="8" fillId="13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8" fontId="8" fillId="13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13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10" fillId="1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1" fontId="0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1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0" fillId="13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0" fillId="1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1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3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0" fillId="13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4" fontId="0" fillId="1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0" fillId="1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80" fontId="8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0" fontId="10" fillId="13" borderId="1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5" fontId="0" fillId="1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5" fontId="0" fillId="13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0" fillId="0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1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9" fontId="0" fillId="1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1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0" fillId="13" borderId="1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13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13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3" fontId="10" fillId="13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13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4" fontId="0" fillId="1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5" fontId="10" fillId="1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10" fillId="13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8" fontId="0" fillId="13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8" fontId="0" fillId="13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92" fontId="10" fillId="13" borderId="3" xfId="19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93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92" fontId="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3" fillId="13" borderId="1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1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0" fillId="13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4" fontId="8" fillId="0" borderId="3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8" fillId="18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3" borderId="1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10" fillId="1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13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3" fontId="0" fillId="1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3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8" fillId="0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85" fontId="0" fillId="1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93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8" fillId="13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5" fontId="0" fillId="13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5" fontId="0" fillId="1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0" fillId="1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8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0" fillId="0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5" fontId="10" fillId="1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5" fontId="10" fillId="13" borderId="2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73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1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0" fillId="1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1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6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0" fillId="13" borderId="2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0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13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10" fillId="13" borderId="2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1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1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2" borderId="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3" fontId="0" fillId="1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1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1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90" fontId="0" fillId="13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3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9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4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0" fillId="1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10" fillId="1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0" fillId="1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6" fillId="1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2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1" fontId="8" fillId="4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2" fontId="0" fillId="2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1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0" fillId="1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2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4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3" fontId="0" fillId="1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0" fillId="1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1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0" fillId="2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8" fontId="6" fillId="2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10" fillId="21" borderId="30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80" fontId="8" fillId="21" borderId="3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8" fillId="21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1" borderId="3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80" fontId="8" fillId="21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8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8" fontId="8" fillId="2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3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10" fillId="2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8" fillId="2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0" fillId="2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0" fontId="8" fillId="21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10" fillId="21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90" fontId="8" fillId="2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8" fillId="21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0" fontId="8" fillId="0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3" fontId="8" fillId="2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90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90" fontId="8" fillId="2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3" fontId="8" fillId="21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2" fontId="8" fillId="0" borderId="0" xfId="19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93" fontId="8" fillId="21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0" fillId="21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9" fontId="10" fillId="2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93" fontId="8" fillId="21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0" fillId="2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21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10" fillId="2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4" fontId="10" fillId="21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1" borderId="3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93" fontId="10" fillId="21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8" fillId="21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2" borderId="27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80" fontId="10" fillId="2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3" fontId="10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0" fontId="0" fillId="2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8" fontId="0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10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2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4" fontId="0" fillId="2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00" fontId="8" fillId="2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200" fontId="8" fillId="22" borderId="37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8" fontId="0" fillId="2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10" fillId="2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10" fillId="22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2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0" fillId="22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2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0" fillId="2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13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0" fontId="0" fillId="1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1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2" fontId="8" fillId="1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1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8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2" fontId="8" fillId="13" borderId="9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4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3" fontId="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4" fontId="0" fillId="1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0" fillId="1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4" fontId="8" fillId="1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0" fillId="0" borderId="4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8" fontId="0" fillId="1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0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1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0" fontId="10" fillId="1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80" fontId="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80" fontId="8" fillId="2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0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0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8" fontId="0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8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93" fontId="8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8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0" fontId="0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7" fontId="8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8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0" fontId="8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8" fillId="1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0" fillId="0" borderId="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80" fontId="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9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1" fontId="10" fillId="1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8" fillId="0" borderId="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9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4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1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80" fontId="8" fillId="9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70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10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0" fontId="8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10" fillId="1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1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13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83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8" fontId="8" fillId="4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0" fillId="2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1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3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3" borderId="1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3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2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2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3" fontId="0" fillId="13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35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0" fillId="13" borderId="1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2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0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1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10" borderId="4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2" fillId="1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4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4" borderId="3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8" fontId="8" fillId="1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8" fillId="13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6" fillId="2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10" fillId="2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1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93" fontId="0" fillId="13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91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91" fontId="6" fillId="1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20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80" fontId="0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80" fontId="0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0" fillId="1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80" fontId="10" fillId="1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80" fontId="6" fillId="1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80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80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80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1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1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1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1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80" fontId="0" fillId="1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80" fontId="8" fillId="1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80" fontId="0" fillId="1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6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1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0" borderId="13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0" fillId="13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90" fontId="0" fillId="13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0" fillId="13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0" fillId="13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13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13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93" fontId="0" fillId="13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202" fontId="0" fillId="13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93" fontId="0" fillId="13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0" fillId="13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13" borderId="4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84" fontId="0" fillId="0" borderId="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93" fontId="0" fillId="0" borderId="2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93" fontId="0" fillId="0" borderId="3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40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90" fontId="13" fillId="1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13" fillId="1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13" fillId="1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90" fontId="0" fillId="13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0" fillId="0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0" fillId="13" borderId="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0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0" fillId="13" borderId="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93" fontId="0" fillId="0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202" fontId="0" fillId="13" borderId="9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93" fontId="0" fillId="0" borderId="5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84" fontId="0" fillId="13" borderId="4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70" fontId="0" fillId="0" borderId="44" xfId="0" applyFont="fals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BC65"/>
      <rgbColor rgb="FF800080"/>
      <rgbColor rgb="FF008080"/>
      <rgbColor rgb="FFBFBFBF"/>
      <rgbColor rgb="FF5E8AC7"/>
      <rgbColor rgb="FF8F93C7"/>
      <rgbColor rgb="FFC0504D"/>
      <rgbColor rgb="FF87D1D1"/>
      <rgbColor rgb="FFD9D9D9"/>
      <rgbColor rgb="FF660066"/>
      <rgbColor rgb="FFBF819E"/>
      <rgbColor rgb="FF0066CC"/>
      <rgbColor rgb="FFCCCCCC"/>
      <rgbColor rgb="FF000080"/>
      <rgbColor rgb="FFFF00FF"/>
      <rgbColor rgb="FFFFF200"/>
      <rgbColor rgb="FF00FFFF"/>
      <rgbColor rgb="FF800080"/>
      <rgbColor rgb="FF800000"/>
      <rgbColor rgb="FF008080"/>
      <rgbColor rgb="FF0000FF"/>
      <rgbColor rgb="FF89C765"/>
      <rgbColor rgb="FFB4C7DC"/>
      <rgbColor rgb="FFDDDDDD"/>
      <rgbColor rgb="FFC4BD97"/>
      <rgbColor rgb="FFADC5E7"/>
      <rgbColor rgb="FFFFAA95"/>
      <rgbColor rgb="FFB3B3B3"/>
      <rgbColor rgb="FFFAC090"/>
      <rgbColor rgb="FF4F81BD"/>
      <rgbColor rgb="FF65C295"/>
      <rgbColor rgb="FF92D050"/>
      <rgbColor rgb="FFFFD320"/>
      <rgbColor rgb="FFE8A202"/>
      <rgbColor rgb="FFFF420E"/>
      <rgbColor rgb="FF595959"/>
      <rgbColor rgb="FF999999"/>
      <rgbColor rgb="FF004586"/>
      <rgbColor rgb="FF579D1C"/>
      <rgbColor rgb="FF003300"/>
      <rgbColor rgb="FF333300"/>
      <rgbColor rgb="FF993300"/>
      <rgbColor rgb="FFD62E4E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400" spc="-1" strike="noStrike">
                <a:solidFill>
                  <a:srgbClr val="595959"/>
                </a:solidFill>
                <a:latin typeface="Calibri"/>
              </a:defRPr>
            </a:pPr>
            <a:r>
              <a:rPr b="0" sz="1400" spc="-1" strike="noStrike">
                <a:solidFill>
                  <a:srgbClr val="595959"/>
                </a:solidFill>
                <a:latin typeface="Calibri"/>
              </a:rPr>
              <a:t>Gain Bode Plots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scatterChart>
        <c:scatterStyle val="lineMarker"/>
        <c:varyColors val="0"/>
        <c:ser>
          <c:idx val="0"/>
          <c:order val="0"/>
          <c:tx>
            <c:strRef>
              <c:f>"Power Stage"</c:f>
              <c:strCache>
                <c:ptCount val="1"/>
                <c:pt idx="0">
                  <c:v>Power Stage</c:v>
                </c:pt>
              </c:strCache>
            </c:strRef>
          </c:tx>
          <c:spPr>
            <a:solidFill>
              <a:srgbClr val="4f81bd"/>
            </a:solidFill>
            <a:ln w="19080">
              <a:solidFill>
                <a:srgbClr val="4f81bd"/>
              </a:solidFill>
              <a:round/>
            </a:ln>
          </c:spPr>
          <c:marker>
            <c:symbol val="circle"/>
            <c:size val="5"/>
            <c:spPr>
              <a:solidFill>
                <a:srgbClr val="4f81bd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loop!$B$38:$B$44</c:f>
              <c:numCache>
                <c:formatCode>General</c:formatCode>
                <c:ptCount val="7"/>
                <c:pt idx="0">
                  <c:v>1</c:v>
                </c:pt>
                <c:pt idx="1">
                  <c:v>1000</c:v>
                </c:pt>
                <c:pt idx="2">
                  <c:v>3535.36236820595</c:v>
                </c:pt>
                <c:pt idx="3">
                  <c:v>7999.97193662407</c:v>
                </c:pt>
                <c:pt idx="4">
                  <c:v>16105.5396773826</c:v>
                </c:pt>
                <c:pt idx="5">
                  <c:v>17543.6002052674</c:v>
                </c:pt>
                <c:pt idx="6">
                  <c:v>150000</c:v>
                </c:pt>
              </c:numCache>
            </c:numRef>
          </c:xVal>
          <c:yVal>
            <c:numRef>
              <c:f>loop!$C$38:$C$44</c:f>
              <c:numCache>
                <c:formatCode>General</c:formatCode>
                <c:ptCount val="7"/>
                <c:pt idx="0">
                  <c:v>82.9560619631629</c:v>
                </c:pt>
                <c:pt idx="1">
                  <c:v>22.9560619631629</c:v>
                </c:pt>
                <c:pt idx="2">
                  <c:v>11.9873832670014</c:v>
                </c:pt>
                <c:pt idx="3">
                  <c:v>4.89429269280077</c:v>
                </c:pt>
                <c:pt idx="4">
                  <c:v>-1.18344367860681</c:v>
                </c:pt>
                <c:pt idx="5">
                  <c:v>-1.92631247289781</c:v>
                </c:pt>
                <c:pt idx="6">
                  <c:v>-20.5657632179507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"Loop"</c:f>
              <c:strCache>
                <c:ptCount val="1"/>
                <c:pt idx="0">
                  <c:v>Loop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xVal>
            <c:numRef>
              <c:f>loop!$B$38:$B$44</c:f>
              <c:numCache>
                <c:formatCode>General</c:formatCode>
                <c:ptCount val="7"/>
                <c:pt idx="0">
                  <c:v>1</c:v>
                </c:pt>
                <c:pt idx="1">
                  <c:v>1000</c:v>
                </c:pt>
                <c:pt idx="2">
                  <c:v>3535.36236820595</c:v>
                </c:pt>
                <c:pt idx="3">
                  <c:v>7999.97193662407</c:v>
                </c:pt>
                <c:pt idx="4">
                  <c:v>16105.5396773826</c:v>
                </c:pt>
                <c:pt idx="5">
                  <c:v>17543.6002052674</c:v>
                </c:pt>
                <c:pt idx="6">
                  <c:v>150000</c:v>
                </c:pt>
              </c:numCache>
            </c:numRef>
          </c:xVal>
          <c:yVal>
            <c:numRef>
              <c:f>loop!$E$38:$E$44</c:f>
              <c:numCache>
                <c:formatCode>General</c:formatCode>
                <c:ptCount val="7"/>
                <c:pt idx="0">
                  <c:v>148.716187548326</c:v>
                </c:pt>
                <c:pt idx="1">
                  <c:v>28.7161875483263</c:v>
                </c:pt>
                <c:pt idx="2">
                  <c:v>6.77883015600324</c:v>
                </c:pt>
                <c:pt idx="3">
                  <c:v>-0.314260418197392</c:v>
                </c:pt>
                <c:pt idx="4">
                  <c:v>-6.39199678960497</c:v>
                </c:pt>
                <c:pt idx="5">
                  <c:v>-7.87773437818696</c:v>
                </c:pt>
                <c:pt idx="6">
                  <c:v>-45.1566358682928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"Error Amp"</c:f>
              <c:strCache>
                <c:ptCount val="1"/>
                <c:pt idx="0">
                  <c:v>Error Amp</c:v>
                </c:pt>
              </c:strCache>
            </c:strRef>
          </c:tx>
          <c:spPr>
            <a:solidFill>
              <a:srgbClr val="c0504d"/>
            </a:solidFill>
            <a:ln w="19080">
              <a:solidFill>
                <a:srgbClr val="c0504d"/>
              </a:solidFill>
              <a:round/>
            </a:ln>
          </c:spPr>
          <c:marker>
            <c:symbol val="circle"/>
            <c:size val="5"/>
            <c:spPr>
              <a:solidFill>
                <a:srgbClr val="c0504d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xVal>
            <c:numRef>
              <c:f>loop!$B$38:$B$44</c:f>
              <c:numCache>
                <c:formatCode>General</c:formatCode>
                <c:ptCount val="7"/>
                <c:pt idx="0">
                  <c:v>1</c:v>
                </c:pt>
                <c:pt idx="1">
                  <c:v>1000</c:v>
                </c:pt>
                <c:pt idx="2">
                  <c:v>3535.36236820595</c:v>
                </c:pt>
                <c:pt idx="3">
                  <c:v>7999.97193662407</c:v>
                </c:pt>
                <c:pt idx="4">
                  <c:v>16105.5396773826</c:v>
                </c:pt>
                <c:pt idx="5">
                  <c:v>17543.6002052674</c:v>
                </c:pt>
                <c:pt idx="6">
                  <c:v>150000</c:v>
                </c:pt>
              </c:numCache>
            </c:numRef>
          </c:xVal>
          <c:yVal>
            <c:numRef>
              <c:f>loop!$D$38:$D$44</c:f>
              <c:numCache>
                <c:formatCode>General</c:formatCode>
                <c:ptCount val="7"/>
                <c:pt idx="0">
                  <c:v>65.7601255851634</c:v>
                </c:pt>
                <c:pt idx="1">
                  <c:v>5.76012558516337</c:v>
                </c:pt>
                <c:pt idx="2">
                  <c:v>-5.20855311099816</c:v>
                </c:pt>
                <c:pt idx="3">
                  <c:v>-5.20855311099816</c:v>
                </c:pt>
                <c:pt idx="4">
                  <c:v>-5.20855311099816</c:v>
                </c:pt>
                <c:pt idx="5">
                  <c:v>-5.95142190528915</c:v>
                </c:pt>
                <c:pt idx="6">
                  <c:v>-24.590872650342</c:v>
                </c:pt>
              </c:numCache>
            </c:numRef>
          </c:yVal>
          <c:smooth val="0"/>
        </c:ser>
        <c:axId val="29376881"/>
        <c:axId val="9935418"/>
      </c:scatterChart>
      <c:valAx>
        <c:axId val="29376881"/>
        <c:scaling>
          <c:logBase val="10"/>
          <c:orientation val="minMax"/>
          <c:max val="500000"/>
        </c:scaling>
        <c:delete val="0"/>
        <c:axPos val="b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inorGridlines>
          <c:spPr>
            <a:ln w="9360">
              <a:solidFill>
                <a:srgbClr val="f2f2f2"/>
              </a:solidFill>
              <a:round/>
            </a:ln>
          </c:spPr>
        </c:minorGridlines>
        <c:title>
          <c:tx>
            <c:rich>
              <a:bodyPr rot="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Frequency, Hz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cross"/>
        <c:minorTickMark val="cross"/>
        <c:tickLblPos val="low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9935418"/>
        <c:crosses val="autoZero"/>
        <c:crossBetween val="midCat"/>
      </c:valAx>
      <c:valAx>
        <c:axId val="9935418"/>
        <c:scaling>
          <c:orientation val="minMax"/>
          <c:max val="6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minorGridlines>
          <c:spPr>
            <a:ln w="9360">
              <a:solidFill>
                <a:srgbClr val="f2f2f2"/>
              </a:solidFill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sz="1000" spc="-1" strike="noStrike">
                    <a:solidFill>
                      <a:srgbClr val="595959"/>
                    </a:solidFill>
                    <a:latin typeface="Calibri"/>
                  </a:defRPr>
                </a:pPr>
                <a:r>
                  <a:rPr b="0" sz="1000" spc="-1" strike="noStrike">
                    <a:solidFill>
                      <a:srgbClr val="595959"/>
                    </a:solidFill>
                    <a:latin typeface="Calibri"/>
                  </a:rPr>
                  <a:t>Gain, dB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9360">
            <a:solidFill>
              <a:srgbClr val="bfbfbf"/>
            </a:solidFill>
            <a:round/>
          </a:ln>
        </c:spPr>
        <c:txPr>
          <a:bodyPr/>
          <a:lstStyle/>
          <a:p>
            <a:pPr>
              <a:defRPr b="0" sz="900" spc="-1" strike="noStrike">
                <a:solidFill>
                  <a:srgbClr val="595959"/>
                </a:solidFill>
                <a:latin typeface="Calibri"/>
              </a:defRPr>
            </a:pPr>
          </a:p>
        </c:txPr>
        <c:crossAx val="29376881"/>
        <c:crosses val="autoZero"/>
        <c:crossBetween val="midCat"/>
      </c:valAx>
      <c:spPr>
        <a:noFill/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900" spc="-1" strike="noStrik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Maximum Power as a Function of Vin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'vin=10v</c:f>
              <c:strCache>
                <c:ptCount val="1"/>
                <c:pt idx="0">
                  <c:v>'vin=10v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pwr_rating!$G$1:$P$1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pwr_rating!$G$7:$P$7</c:f>
              <c:numCache>
                <c:formatCode>General</c:formatCode>
                <c:ptCount val="10"/>
                <c:pt idx="0">
                  <c:v>8.37</c:v>
                </c:pt>
                <c:pt idx="1">
                  <c:v>16.74</c:v>
                </c:pt>
                <c:pt idx="2">
                  <c:v>25.11</c:v>
                </c:pt>
                <c:pt idx="3">
                  <c:v>33.48</c:v>
                </c:pt>
                <c:pt idx="4">
                  <c:v>41.85</c:v>
                </c:pt>
                <c:pt idx="5">
                  <c:v>50.22</c:v>
                </c:pt>
                <c:pt idx="6">
                  <c:v>58.59</c:v>
                </c:pt>
                <c:pt idx="7">
                  <c:v>66.96</c:v>
                </c:pt>
                <c:pt idx="8">
                  <c:v>75.33</c:v>
                </c:pt>
                <c:pt idx="9">
                  <c:v>83.7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'vin=30v</c:f>
              <c:strCache>
                <c:ptCount val="1"/>
                <c:pt idx="0">
                  <c:v>'vin=30v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pwr_rating!$G$1:$P$1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pwr_rating!$G$8:$P$8</c:f>
              <c:numCache>
                <c:formatCode>General</c:formatCode>
                <c:ptCount val="10"/>
                <c:pt idx="0">
                  <c:v>25.11</c:v>
                </c:pt>
                <c:pt idx="1">
                  <c:v>50.22</c:v>
                </c:pt>
                <c:pt idx="2">
                  <c:v>75.33</c:v>
                </c:pt>
                <c:pt idx="3">
                  <c:v>100.44</c:v>
                </c:pt>
                <c:pt idx="4">
                  <c:v>125.55</c:v>
                </c:pt>
                <c:pt idx="5">
                  <c:v>150.66</c:v>
                </c:pt>
                <c:pt idx="6">
                  <c:v>175.77</c:v>
                </c:pt>
                <c:pt idx="7">
                  <c:v>200.88</c:v>
                </c:pt>
                <c:pt idx="8">
                  <c:v>225.99</c:v>
                </c:pt>
                <c:pt idx="9">
                  <c:v>251.1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'vin=50v</c:f>
              <c:strCache>
                <c:ptCount val="1"/>
                <c:pt idx="0">
                  <c:v>'vin=50v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pwr_rating!$G$1:$P$1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pwr_rating!$G$9:$P$9</c:f>
              <c:numCache>
                <c:formatCode>General</c:formatCode>
                <c:ptCount val="10"/>
                <c:pt idx="0">
                  <c:v>41.85</c:v>
                </c:pt>
                <c:pt idx="1">
                  <c:v>83.7</c:v>
                </c:pt>
                <c:pt idx="2">
                  <c:v>125.55</c:v>
                </c:pt>
                <c:pt idx="3">
                  <c:v>167.4</c:v>
                </c:pt>
                <c:pt idx="4">
                  <c:v>209.25</c:v>
                </c:pt>
                <c:pt idx="5">
                  <c:v>251.1</c:v>
                </c:pt>
                <c:pt idx="6">
                  <c:v>292.95</c:v>
                </c:pt>
                <c:pt idx="7">
                  <c:v>334.8</c:v>
                </c:pt>
                <c:pt idx="8">
                  <c:v>376.65</c:v>
                </c:pt>
                <c:pt idx="9">
                  <c:v>418.5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'vin=60v</c:f>
              <c:strCache>
                <c:ptCount val="1"/>
                <c:pt idx="0">
                  <c:v>'vin=60v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pwr_rating!$G$1:$P$1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pwr_rating!$G$10:$P$10</c:f>
              <c:numCache>
                <c:formatCode>General</c:formatCode>
                <c:ptCount val="10"/>
                <c:pt idx="0">
                  <c:v>50.22</c:v>
                </c:pt>
                <c:pt idx="1">
                  <c:v>100.44</c:v>
                </c:pt>
                <c:pt idx="2">
                  <c:v>150.66</c:v>
                </c:pt>
                <c:pt idx="3">
                  <c:v>200.88</c:v>
                </c:pt>
                <c:pt idx="4">
                  <c:v>251.1</c:v>
                </c:pt>
                <c:pt idx="5">
                  <c:v>301.32</c:v>
                </c:pt>
                <c:pt idx="6">
                  <c:v>351.54</c:v>
                </c:pt>
                <c:pt idx="7">
                  <c:v>401.76</c:v>
                </c:pt>
                <c:pt idx="8">
                  <c:v>451.98</c:v>
                </c:pt>
                <c:pt idx="9">
                  <c:v>502.2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86800428"/>
        <c:axId val="3114630"/>
      </c:lineChart>
      <c:catAx>
        <c:axId val="86800428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Percent Power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3114630"/>
        <c:crosses val="autoZero"/>
        <c:auto val="1"/>
        <c:lblAlgn val="ctr"/>
        <c:lblOffset val="100"/>
        <c:noMultiLvlLbl val="0"/>
      </c:catAx>
      <c:valAx>
        <c:axId val="3114630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Watts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6800428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Single Card Efficiency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'vin=10v</c:f>
              <c:strCache>
                <c:ptCount val="1"/>
                <c:pt idx="0">
                  <c:v>'vin=10v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meas_eff!$E$6:$N$6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meas_eff!$E$7:$N$7</c:f>
              <c:numCache>
                <c:formatCode>General</c:formatCode>
                <c:ptCount val="10"/>
                <c:pt idx="0">
                  <c:v>0.83</c:v>
                </c:pt>
                <c:pt idx="1">
                  <c:v>0.84</c:v>
                </c:pt>
                <c:pt idx="2">
                  <c:v>0.87</c:v>
                </c:pt>
                <c:pt idx="3">
                  <c:v>0.89</c:v>
                </c:pt>
                <c:pt idx="4">
                  <c:v>0.9</c:v>
                </c:pt>
                <c:pt idx="5">
                  <c:v>0.89</c:v>
                </c:pt>
                <c:pt idx="6">
                  <c:v>0.89</c:v>
                </c:pt>
                <c:pt idx="7">
                  <c:v>0.85</c:v>
                </c:pt>
                <c:pt idx="8">
                  <c:v>0.84</c:v>
                </c:pt>
                <c:pt idx="9">
                  <c:v>0.85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'vin=30v</c:f>
              <c:strCache>
                <c:ptCount val="1"/>
                <c:pt idx="0">
                  <c:v>'vin=30v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meas_eff!$E$6:$N$6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meas_eff!$E$8:$N$8</c:f>
              <c:numCache>
                <c:formatCode>General</c:formatCode>
                <c:ptCount val="10"/>
                <c:pt idx="0">
                  <c:v>0.87</c:v>
                </c:pt>
                <c:pt idx="1">
                  <c:v>0.9</c:v>
                </c:pt>
                <c:pt idx="2">
                  <c:v>0.89</c:v>
                </c:pt>
                <c:pt idx="3">
                  <c:v>0.92</c:v>
                </c:pt>
                <c:pt idx="4">
                  <c:v>0.92</c:v>
                </c:pt>
                <c:pt idx="5">
                  <c:v>0.93</c:v>
                </c:pt>
                <c:pt idx="6">
                  <c:v>0.94</c:v>
                </c:pt>
                <c:pt idx="7">
                  <c:v>0.92</c:v>
                </c:pt>
                <c:pt idx="8">
                  <c:v>0.92</c:v>
                </c:pt>
                <c:pt idx="9">
                  <c:v>0.92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'vin=50v</c:f>
              <c:strCache>
                <c:ptCount val="1"/>
                <c:pt idx="0">
                  <c:v>'vin=50v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meas_eff!$E$6:$N$6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meas_eff!$E$9:$N$9</c:f>
              <c:numCache>
                <c:formatCode>General</c:formatCode>
                <c:ptCount val="10"/>
                <c:pt idx="0">
                  <c:v>0.91</c:v>
                </c:pt>
                <c:pt idx="1">
                  <c:v>0.88</c:v>
                </c:pt>
                <c:pt idx="2">
                  <c:v>0.92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0.92</c:v>
                </c:pt>
                <c:pt idx="7">
                  <c:v>0.93</c:v>
                </c:pt>
                <c:pt idx="8">
                  <c:v>0.93</c:v>
                </c:pt>
                <c:pt idx="9">
                  <c:v>0.92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'vin=60v</c:f>
              <c:strCache>
                <c:ptCount val="1"/>
                <c:pt idx="0">
                  <c:v>'vin=60v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meas_eff!$E$6:$N$6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meas_eff!$E$10:$N$10</c:f>
              <c:numCache>
                <c:formatCode>General</c:formatCode>
                <c:ptCount val="10"/>
                <c:pt idx="0">
                  <c:v>0.89</c:v>
                </c:pt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0.93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18501834"/>
        <c:axId val="5804311"/>
      </c:lineChart>
      <c:catAx>
        <c:axId val="18501834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Percent Power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804311"/>
        <c:crosses val="autoZero"/>
        <c:auto val="1"/>
        <c:lblAlgn val="ctr"/>
        <c:lblOffset val="100"/>
        <c:noMultiLvlLbl val="0"/>
      </c:catAx>
      <c:valAx>
        <c:axId val="580431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Efficiency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8501834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300" spc="-1" strike="noStrike">
                <a:latin typeface="Arial"/>
              </a:defRPr>
            </a:pPr>
            <a:r>
              <a:rPr b="0" sz="1300" spc="-1" strike="noStrike">
                <a:latin typeface="Arial"/>
              </a:rPr>
              <a:t>Dual Card Efficiency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tx>
            <c:strRef>
              <c:f>'vin=10v</c:f>
              <c:strCache>
                <c:ptCount val="1"/>
                <c:pt idx="0">
                  <c:v>'vin=10v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square"/>
            <c:size val="8"/>
            <c:spPr>
              <a:solidFill>
                <a:srgbClr val="004586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meas_eff!$E$6:$N$6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meas_eff!$E$11:$N$11</c:f>
              <c:numCache>
                <c:formatCode>General</c:formatCode>
                <c:ptCount val="10"/>
                <c:pt idx="0">
                  <c:v>0.78</c:v>
                </c:pt>
                <c:pt idx="1">
                  <c:v>0.86</c:v>
                </c:pt>
                <c:pt idx="2">
                  <c:v>0.87</c:v>
                </c:pt>
                <c:pt idx="3">
                  <c:v>0.85</c:v>
                </c:pt>
                <c:pt idx="4">
                  <c:v>0.86</c:v>
                </c:pt>
                <c:pt idx="5">
                  <c:v>0.87</c:v>
                </c:pt>
                <c:pt idx="6">
                  <c:v>0.86</c:v>
                </c:pt>
                <c:pt idx="7">
                  <c:v>0.87</c:v>
                </c:pt>
                <c:pt idx="8">
                  <c:v>0.86</c:v>
                </c:pt>
                <c:pt idx="9">
                  <c:v>0.86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'vin=30v</c:f>
              <c:strCache>
                <c:ptCount val="1"/>
                <c:pt idx="0">
                  <c:v>'vin=30v</c:v>
                </c:pt>
              </c:strCache>
            </c:strRef>
          </c:tx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diamond"/>
            <c:size val="8"/>
            <c:spPr>
              <a:solidFill>
                <a:srgbClr val="ff420e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meas_eff!$E$6:$N$6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meas_eff!$E$12:$N$12</c:f>
              <c:numCache>
                <c:formatCode>General</c:formatCode>
                <c:ptCount val="10"/>
                <c:pt idx="0">
                  <c:v>0.89</c:v>
                </c:pt>
                <c:pt idx="1">
                  <c:v>0.89</c:v>
                </c:pt>
                <c:pt idx="2">
                  <c:v>0.92</c:v>
                </c:pt>
                <c:pt idx="3">
                  <c:v>0.92</c:v>
                </c:pt>
                <c:pt idx="4">
                  <c:v>0.93</c:v>
                </c:pt>
                <c:pt idx="5">
                  <c:v>0.92</c:v>
                </c:pt>
                <c:pt idx="6">
                  <c:v>0.93</c:v>
                </c:pt>
                <c:pt idx="7">
                  <c:v>0.93</c:v>
                </c:pt>
                <c:pt idx="8">
                  <c:v>0.92</c:v>
                </c:pt>
                <c:pt idx="9">
                  <c:v>0.92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'vin=50v</c:f>
              <c:strCache>
                <c:ptCount val="1"/>
                <c:pt idx="0">
                  <c:v>'vin=50v</c:v>
                </c:pt>
              </c:strCache>
            </c:strRef>
          </c:tx>
          <c:spPr>
            <a:solidFill>
              <a:srgbClr val="ffd320"/>
            </a:solidFill>
            <a:ln w="28800">
              <a:solidFill>
                <a:srgbClr val="ffd320"/>
              </a:solidFill>
              <a:round/>
            </a:ln>
          </c:spPr>
          <c:marker>
            <c:symbol val="triangle"/>
            <c:size val="8"/>
            <c:spPr>
              <a:solidFill>
                <a:srgbClr val="ffd320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meas_eff!$E$6:$N$6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meas_eff!$E$13:$N$13</c:f>
              <c:numCache>
                <c:formatCode>General</c:formatCode>
                <c:ptCount val="10"/>
                <c:pt idx="0">
                  <c:v>0.87</c:v>
                </c:pt>
                <c:pt idx="1">
                  <c:v>0.91</c:v>
                </c:pt>
                <c:pt idx="2">
                  <c:v>0.92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0.92</c:v>
                </c:pt>
                <c:pt idx="9">
                  <c:v>0.93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'vin=60v</c:f>
              <c:strCache>
                <c:ptCount val="1"/>
                <c:pt idx="0">
                  <c:v>'vin=60v</c:v>
                </c:pt>
              </c:strCache>
            </c:strRef>
          </c:tx>
          <c:spPr>
            <a:solidFill>
              <a:srgbClr val="579d1c"/>
            </a:solidFill>
            <a:ln w="28800">
              <a:solidFill>
                <a:srgbClr val="579d1c"/>
              </a:solidFill>
              <a:round/>
            </a:ln>
          </c:spPr>
          <c:marker>
            <c:symbol val="triangle"/>
            <c:size val="8"/>
            <c:spPr>
              <a:solidFill>
                <a:srgbClr val="579d1c"/>
              </a:solidFill>
            </c:spPr>
          </c:marker>
          <c:dLbls>
            <c:txPr>
              <a:bodyPr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0"/>
          </c:dLbls>
          <c:cat>
            <c:multiLvlStrRef>
              <c:f>meas_eff!$E$6:$N$6</c:f>
              <c:multiLvlStrCache>
                <c:ptCount val="1"/>
                <c:lvl>
                  <c:pt idx="0">
                    <c:v>100%</c:v>
                  </c:pt>
                </c:lvl>
                <c:lvl>
                  <c:pt idx="0">
                    <c:v>90%</c:v>
                  </c:pt>
                </c:lvl>
                <c:lvl>
                  <c:pt idx="0">
                    <c:v>80%</c:v>
                  </c:pt>
                </c:lvl>
                <c:lvl>
                  <c:pt idx="0">
                    <c:v>70%</c:v>
                  </c:pt>
                </c:lvl>
                <c:lvl>
                  <c:pt idx="0">
                    <c:v>60%</c:v>
                  </c:pt>
                </c:lvl>
                <c:lvl>
                  <c:pt idx="0">
                    <c:v>50%</c:v>
                  </c:pt>
                </c:lvl>
                <c:lvl>
                  <c:pt idx="0">
                    <c:v>40%</c:v>
                  </c:pt>
                </c:lvl>
                <c:lvl>
                  <c:pt idx="0">
                    <c:v>30%</c:v>
                  </c:pt>
                </c:lvl>
                <c:lvl>
                  <c:pt idx="0">
                    <c:v>20%</c:v>
                  </c:pt>
                </c:lvl>
                <c:lvl>
                  <c:pt idx="0">
                    <c:v>10%</c:v>
                  </c:pt>
                </c:lvl>
              </c:multiLvlStrCache>
            </c:multiLvlStrRef>
          </c:cat>
          <c:val>
            <c:numRef>
              <c:f>meas_eff!$E$14:$N$14</c:f>
              <c:numCache>
                <c:formatCode>General</c:formatCode>
                <c:ptCount val="10"/>
                <c:pt idx="0">
                  <c:v>0.88</c:v>
                </c:pt>
                <c:pt idx="1">
                  <c:v>0.9</c:v>
                </c:pt>
                <c:pt idx="2">
                  <c:v>0.92</c:v>
                </c:pt>
                <c:pt idx="3">
                  <c:v>0.93</c:v>
                </c:pt>
                <c:pt idx="4">
                  <c:v>0.93</c:v>
                </c:pt>
                <c:pt idx="5">
                  <c:v>0.93</c:v>
                </c:pt>
                <c:pt idx="6">
                  <c:v>0.93</c:v>
                </c:pt>
                <c:pt idx="7">
                  <c:v>0.93</c:v>
                </c:pt>
                <c:pt idx="8">
                  <c:v>0.93</c:v>
                </c:pt>
                <c:pt idx="9">
                  <c:v>0.92</c:v>
                </c:pt>
              </c:numCache>
            </c:numRef>
          </c:val>
          <c:smooth val="1"/>
        </c:ser>
        <c:hiLowLines>
          <c:spPr>
            <a:ln>
              <a:noFill/>
            </a:ln>
          </c:spPr>
        </c:hiLowLines>
        <c:marker val="1"/>
        <c:axId val="25218176"/>
        <c:axId val="50379362"/>
      </c:lineChart>
      <c:catAx>
        <c:axId val="25218176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Percent Power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0379362"/>
        <c:crosses val="autoZero"/>
        <c:auto val="1"/>
        <c:lblAlgn val="ctr"/>
        <c:lblOffset val="100"/>
        <c:noMultiLvlLbl val="0"/>
      </c:catAx>
      <c:valAx>
        <c:axId val="50379362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title>
          <c:tx>
            <c:rich>
              <a:bodyPr rot="-5400000"/>
              <a:lstStyle/>
              <a:p>
                <a:pPr>
                  <a:defRPr b="0" sz="900" spc="-1" strike="noStrike">
                    <a:latin typeface="Arial"/>
                  </a:defRPr>
                </a:pPr>
                <a:r>
                  <a:rPr b="0" sz="900" spc="-1" strike="noStrike">
                    <a:latin typeface="Arial"/>
                  </a:rPr>
                  <a:t>Efficiency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5218176"/>
        <c:crosses val="autoZero"/>
        <c:crossBetween val="midCat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2.ti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0</xdr:colOff>
      <xdr:row>2</xdr:row>
      <xdr:rowOff>0</xdr:rowOff>
    </xdr:from>
    <xdr:to>
      <xdr:col>12</xdr:col>
      <xdr:colOff>524880</xdr:colOff>
      <xdr:row>17</xdr:row>
      <xdr:rowOff>143280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5689440" y="325080"/>
          <a:ext cx="4588920" cy="25815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140400</xdr:colOff>
      <xdr:row>2</xdr:row>
      <xdr:rowOff>67320</xdr:rowOff>
    </xdr:from>
    <xdr:to>
      <xdr:col>12</xdr:col>
      <xdr:colOff>100080</xdr:colOff>
      <xdr:row>35</xdr:row>
      <xdr:rowOff>67320</xdr:rowOff>
    </xdr:to>
    <xdr:graphicFrame>
      <xdr:nvGraphicFramePr>
        <xdr:cNvPr id="1" name="Chart 1"/>
        <xdr:cNvGraphicFramePr/>
      </xdr:nvGraphicFramePr>
      <xdr:xfrm>
        <a:off x="8078400" y="392400"/>
        <a:ext cx="7196040" cy="53643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twoCell">
    <xdr:from>
      <xdr:col>3</xdr:col>
      <xdr:colOff>127080</xdr:colOff>
      <xdr:row>2</xdr:row>
      <xdr:rowOff>31680</xdr:rowOff>
    </xdr:from>
    <xdr:to>
      <xdr:col>4</xdr:col>
      <xdr:colOff>786240</xdr:colOff>
      <xdr:row>10</xdr:row>
      <xdr:rowOff>68760</xdr:rowOff>
    </xdr:to>
    <xdr:pic>
      <xdr:nvPicPr>
        <xdr:cNvPr id="2" name="Picture 4" descr=""/>
        <xdr:cNvPicPr/>
      </xdr:nvPicPr>
      <xdr:blipFill>
        <a:blip r:embed="rId2"/>
        <a:stretch/>
      </xdr:blipFill>
      <xdr:spPr>
        <a:xfrm>
          <a:off x="6232320" y="356760"/>
          <a:ext cx="1679040" cy="13374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721080</xdr:colOff>
      <xdr:row>14</xdr:row>
      <xdr:rowOff>13680</xdr:rowOff>
    </xdr:from>
    <xdr:to>
      <xdr:col>9</xdr:col>
      <xdr:colOff>786600</xdr:colOff>
      <xdr:row>36</xdr:row>
      <xdr:rowOff>162360</xdr:rowOff>
    </xdr:to>
    <xdr:graphicFrame>
      <xdr:nvGraphicFramePr>
        <xdr:cNvPr id="3" name=""/>
        <xdr:cNvGraphicFramePr/>
      </xdr:nvGraphicFramePr>
      <xdr:xfrm>
        <a:off x="2346480" y="2289240"/>
        <a:ext cx="5755320" cy="3725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275760</xdr:colOff>
      <xdr:row>17</xdr:row>
      <xdr:rowOff>67680</xdr:rowOff>
    </xdr:from>
    <xdr:to>
      <xdr:col>8</xdr:col>
      <xdr:colOff>340920</xdr:colOff>
      <xdr:row>37</xdr:row>
      <xdr:rowOff>54000</xdr:rowOff>
    </xdr:to>
    <xdr:graphicFrame>
      <xdr:nvGraphicFramePr>
        <xdr:cNvPr id="4" name=""/>
        <xdr:cNvGraphicFramePr/>
      </xdr:nvGraphicFramePr>
      <xdr:xfrm>
        <a:off x="1088280" y="2831040"/>
        <a:ext cx="575496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641880</xdr:colOff>
      <xdr:row>17</xdr:row>
      <xdr:rowOff>13680</xdr:rowOff>
    </xdr:from>
    <xdr:to>
      <xdr:col>16</xdr:col>
      <xdr:colOff>707760</xdr:colOff>
      <xdr:row>36</xdr:row>
      <xdr:rowOff>162360</xdr:rowOff>
    </xdr:to>
    <xdr:graphicFrame>
      <xdr:nvGraphicFramePr>
        <xdr:cNvPr id="5" name=""/>
        <xdr:cNvGraphicFramePr/>
      </xdr:nvGraphicFramePr>
      <xdr:xfrm>
        <a:off x="7957080" y="2777040"/>
        <a:ext cx="5755320" cy="3237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1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17.xml.rels><?xml version="1.0" encoding="UTF-8"?>
<Relationships xmlns="http://schemas.openxmlformats.org/package/2006/relationships"><Relationship Id="rId1" Type="http://schemas.openxmlformats.org/officeDocument/2006/relationships/comments" Target="../comments17.xml"/><Relationship Id="rId2" Type="http://schemas.openxmlformats.org/officeDocument/2006/relationships/hyperlink" Target="http://media.digikey.com/pdf/Data%20Sheets/CNC%20Tech%20PDFs/MW35C_Spec.pdf" TargetMode="External"/><Relationship Id="rId3" Type="http://schemas.openxmlformats.org/officeDocument/2006/relationships/hyperlink" Target="https://en.wikipedia.org/wiki/Circular_mil" TargetMode="External"/><Relationship Id="rId4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7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4" ySplit="3" topLeftCell="E4" activePane="bottomRight" state="frozen"/>
      <selection pane="topLeft" activeCell="A1" activeCellId="0" sqref="A1"/>
      <selection pane="topRight" activeCell="E1" activeCellId="0" sqref="E1"/>
      <selection pane="bottomLeft" activeCell="A4" activeCellId="0" sqref="A4"/>
      <selection pane="bottomRight" activeCell="A4" activeCellId="0" sqref="A4"/>
    </sheetView>
  </sheetViews>
  <sheetFormatPr defaultColWidth="11.53515625" defaultRowHeight="12.8" zeroHeight="false" outlineLevelRow="0" outlineLevelCol="0"/>
  <cols>
    <col collapsed="false" customWidth="true" hidden="false" outlineLevel="0" max="2" min="2" style="1" width="16.04"/>
    <col collapsed="false" customWidth="true" hidden="false" outlineLevel="0" max="4" min="4" style="0" width="81.79"/>
    <col collapsed="false" customWidth="true" hidden="false" outlineLevel="0" max="6" min="6" style="0" width="13.97"/>
    <col collapsed="false" customWidth="false" hidden="false" outlineLevel="0" max="7" min="7" style="2" width="11.52"/>
    <col collapsed="false" customWidth="true" hidden="false" outlineLevel="0" max="8" min="8" style="0" width="45.02"/>
  </cols>
  <sheetData>
    <row r="1" customFormat="false" ht="15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2" customFormat="false" ht="15" hidden="false" customHeight="false" outlineLevel="0" collapsed="false">
      <c r="A2" s="3" t="s">
        <v>1</v>
      </c>
      <c r="B2" s="3"/>
      <c r="C2" s="3"/>
      <c r="D2" s="3"/>
      <c r="E2" s="3" t="s">
        <v>2</v>
      </c>
      <c r="F2" s="3"/>
      <c r="G2" s="3"/>
      <c r="H2" s="3"/>
    </row>
    <row r="3" customFormat="false" ht="15" hidden="false" customHeight="false" outlineLevel="0" collapsed="false">
      <c r="A3" s="4" t="s">
        <v>3</v>
      </c>
      <c r="B3" s="4" t="s">
        <v>4</v>
      </c>
      <c r="C3" s="4" t="s">
        <v>5</v>
      </c>
      <c r="D3" s="4" t="s">
        <v>6</v>
      </c>
      <c r="E3" s="4" t="s">
        <v>5</v>
      </c>
      <c r="F3" s="4" t="s">
        <v>7</v>
      </c>
      <c r="G3" s="4" t="s">
        <v>8</v>
      </c>
      <c r="H3" s="5" t="s">
        <v>9</v>
      </c>
    </row>
    <row r="4" customFormat="false" ht="12.8" hidden="false" customHeight="false" outlineLevel="0" collapsed="false">
      <c r="A4" s="6" t="s">
        <v>10</v>
      </c>
      <c r="B4" s="7" t="s">
        <v>11</v>
      </c>
      <c r="C4" s="8" t="n">
        <v>10</v>
      </c>
    </row>
    <row r="5" customFormat="false" ht="12.8" hidden="false" customHeight="false" outlineLevel="0" collapsed="false">
      <c r="A5" s="6"/>
      <c r="B5" s="7" t="s">
        <v>12</v>
      </c>
      <c r="C5" s="8" t="n">
        <v>80</v>
      </c>
    </row>
    <row r="6" customFormat="false" ht="12.8" hidden="false" customHeight="false" outlineLevel="0" collapsed="false">
      <c r="A6" s="6"/>
      <c r="B6" s="7" t="s">
        <v>13</v>
      </c>
      <c r="C6" s="8" t="n">
        <f aca="false">31.4*2</f>
        <v>62.8</v>
      </c>
      <c r="D6" s="0" t="s">
        <v>14</v>
      </c>
    </row>
    <row r="7" customFormat="false" ht="12.8" hidden="false" customHeight="false" outlineLevel="0" collapsed="false">
      <c r="A7" s="6"/>
      <c r="B7" s="7" t="s">
        <v>15</v>
      </c>
      <c r="C7" s="8" t="n">
        <f aca="false">14*4</f>
        <v>56</v>
      </c>
      <c r="D7" s="0" t="s">
        <v>16</v>
      </c>
    </row>
    <row r="8" customFormat="false" ht="12.8" hidden="false" customHeight="false" outlineLevel="0" collapsed="false">
      <c r="A8" s="6"/>
      <c r="B8" s="7" t="s">
        <v>17</v>
      </c>
      <c r="C8" s="8" t="n">
        <v>250</v>
      </c>
    </row>
    <row r="9" customFormat="false" ht="12.8" hidden="false" customHeight="false" outlineLevel="0" collapsed="false">
      <c r="A9" s="6"/>
      <c r="B9" s="7" t="s">
        <v>18</v>
      </c>
      <c r="C9" s="9" t="n">
        <f aca="false">C8/C7</f>
        <v>4.46428571428571</v>
      </c>
    </row>
    <row r="10" customFormat="false" ht="12.8" hidden="false" customHeight="false" outlineLevel="0" collapsed="false">
      <c r="A10" s="6"/>
      <c r="B10" s="7" t="s">
        <v>19</v>
      </c>
      <c r="C10" s="10" t="n">
        <v>0.93</v>
      </c>
    </row>
    <row r="11" customFormat="false" ht="12.8" hidden="false" customHeight="false" outlineLevel="0" collapsed="false">
      <c r="A11" s="6"/>
      <c r="B11" s="7" t="s">
        <v>20</v>
      </c>
      <c r="C11" s="9" t="n">
        <f aca="false">C8/C10</f>
        <v>268.817204301075</v>
      </c>
    </row>
    <row r="12" customFormat="false" ht="12.8" hidden="false" customHeight="false" outlineLevel="0" collapsed="false">
      <c r="A12" s="6"/>
      <c r="B12" s="7" t="s">
        <v>21</v>
      </c>
      <c r="C12" s="9" t="n">
        <f aca="false">C11-C8</f>
        <v>18.8172043010753</v>
      </c>
      <c r="D12" s="0" t="s">
        <v>22</v>
      </c>
    </row>
    <row r="13" customFormat="false" ht="12.8" hidden="false" customHeight="false" outlineLevel="0" collapsed="false">
      <c r="A13" s="6"/>
      <c r="B13" s="7" t="s">
        <v>23</v>
      </c>
      <c r="C13" s="9" t="n">
        <f aca="false">C11/C6</f>
        <v>4.28052873090884</v>
      </c>
      <c r="D13" s="0" t="s">
        <v>24</v>
      </c>
    </row>
    <row r="14" customFormat="false" ht="12.8" hidden="false" customHeight="false" outlineLevel="0" collapsed="false">
      <c r="A14" s="6"/>
      <c r="B14" s="7" t="s">
        <v>25</v>
      </c>
      <c r="C14" s="9" t="n">
        <f aca="false">C9+C13</f>
        <v>8.74481444519456</v>
      </c>
      <c r="D14" s="0" t="s">
        <v>26</v>
      </c>
    </row>
    <row r="15" customFormat="false" ht="12.8" hidden="false" customHeight="false" outlineLevel="0" collapsed="false">
      <c r="A15" s="6"/>
      <c r="B15" s="7" t="s">
        <v>27</v>
      </c>
      <c r="C15" s="8" t="n">
        <v>150000</v>
      </c>
      <c r="D15" s="0" t="s">
        <v>28</v>
      </c>
    </row>
    <row r="16" customFormat="false" ht="12.8" hidden="false" customHeight="false" outlineLevel="0" collapsed="false">
      <c r="A16" s="6"/>
      <c r="B16" s="7" t="s">
        <v>29</v>
      </c>
      <c r="C16" s="11" t="n">
        <f aca="false">1/C15</f>
        <v>6.66666666666667E-006</v>
      </c>
      <c r="D16" s="0" t="s">
        <v>30</v>
      </c>
    </row>
    <row r="17" customFormat="false" ht="12.8" hidden="false" customHeight="false" outlineLevel="0" collapsed="false">
      <c r="A17" s="6"/>
      <c r="B17" s="7" t="s">
        <v>31</v>
      </c>
      <c r="C17" s="12" t="n">
        <v>0.86</v>
      </c>
      <c r="D17" s="0" t="s">
        <v>32</v>
      </c>
    </row>
    <row r="18" customFormat="false" ht="12.8" hidden="false" customHeight="false" outlineLevel="0" collapsed="false">
      <c r="A18" s="6"/>
      <c r="B18" s="7" t="s">
        <v>33</v>
      </c>
      <c r="C18" s="13" t="n">
        <f aca="false">(C7+C17)/(C4+C7+C17)</f>
        <v>0.850433742147771</v>
      </c>
      <c r="D18" s="0" t="s">
        <v>34</v>
      </c>
    </row>
    <row r="19" customFormat="false" ht="12.8" hidden="false" customHeight="false" outlineLevel="0" collapsed="false">
      <c r="A19" s="6"/>
      <c r="B19" s="7" t="s">
        <v>35</v>
      </c>
      <c r="C19" s="14" t="n">
        <f aca="false">C16*C18</f>
        <v>5.66955828098514E-006</v>
      </c>
      <c r="D19" s="0" t="s">
        <v>36</v>
      </c>
    </row>
    <row r="20" customFormat="false" ht="12.8" hidden="false" customHeight="false" outlineLevel="0" collapsed="false">
      <c r="A20" s="6"/>
      <c r="B20" s="7" t="s">
        <v>37</v>
      </c>
      <c r="C20" s="13" t="n">
        <f aca="false">(C7+C17)/(C5+C7+C17)</f>
        <v>0.415461055092796</v>
      </c>
      <c r="D20" s="0" t="s">
        <v>38</v>
      </c>
    </row>
    <row r="21" customFormat="false" ht="12.8" hidden="false" customHeight="false" outlineLevel="0" collapsed="false">
      <c r="A21" s="6"/>
      <c r="B21" s="7" t="s">
        <v>39</v>
      </c>
      <c r="C21" s="14" t="n">
        <f aca="false">C16*C20</f>
        <v>2.7697403672853E-006</v>
      </c>
      <c r="D21" s="0" t="s">
        <v>40</v>
      </c>
    </row>
    <row r="22" customFormat="false" ht="12.8" hidden="false" customHeight="false" outlineLevel="0" collapsed="false">
      <c r="A22" s="6"/>
      <c r="B22" s="7" t="s">
        <v>41</v>
      </c>
      <c r="C22" s="13" t="n">
        <f aca="false">(C7+C17)/(C6+C7+C17)</f>
        <v>0.475179675747953</v>
      </c>
      <c r="D22" s="0" t="s">
        <v>42</v>
      </c>
    </row>
    <row r="23" customFormat="false" ht="12.8" hidden="false" customHeight="false" outlineLevel="0" collapsed="false">
      <c r="A23" s="6"/>
      <c r="B23" s="7" t="s">
        <v>43</v>
      </c>
      <c r="C23" s="14" t="n">
        <f aca="false">C16*C22</f>
        <v>3.16786450498635E-006</v>
      </c>
      <c r="D23" s="0" t="s">
        <v>44</v>
      </c>
    </row>
    <row r="24" customFormat="false" ht="12.8" hidden="false" customHeight="true" outlineLevel="0" collapsed="false">
      <c r="A24" s="15" t="s">
        <v>45</v>
      </c>
      <c r="B24" s="16" t="s">
        <v>46</v>
      </c>
      <c r="C24" s="10" t="n">
        <v>0.4</v>
      </c>
      <c r="D24" s="0" t="s">
        <v>47</v>
      </c>
    </row>
    <row r="25" customFormat="false" ht="12.8" hidden="false" customHeight="false" outlineLevel="0" collapsed="false">
      <c r="A25" s="15"/>
      <c r="B25" s="16" t="s">
        <v>48</v>
      </c>
      <c r="C25" s="17" t="n">
        <f aca="false">C24*C13</f>
        <v>1.71221149236354</v>
      </c>
      <c r="D25" s="0" t="s">
        <v>49</v>
      </c>
    </row>
    <row r="26" customFormat="false" ht="12.8" hidden="false" customHeight="false" outlineLevel="0" collapsed="false">
      <c r="A26" s="15"/>
      <c r="B26" s="16" t="s">
        <v>50</v>
      </c>
      <c r="C26" s="17" t="n">
        <f aca="false">(C25/2)/SQRT(3)</f>
        <v>0.49427288301283</v>
      </c>
      <c r="D26" s="0" t="s">
        <v>51</v>
      </c>
    </row>
    <row r="27" customFormat="false" ht="12.8" hidden="false" customHeight="false" outlineLevel="0" collapsed="false">
      <c r="A27" s="15"/>
      <c r="B27" s="16" t="s">
        <v>52</v>
      </c>
      <c r="C27" s="17" t="n">
        <f aca="false">C8*C24</f>
        <v>100</v>
      </c>
      <c r="D27" s="0" t="s">
        <v>53</v>
      </c>
    </row>
    <row r="28" customFormat="false" ht="12.8" hidden="false" customHeight="false" outlineLevel="0" collapsed="false">
      <c r="A28" s="15"/>
      <c r="B28" s="18" t="s">
        <v>54</v>
      </c>
      <c r="C28" s="19" t="n">
        <f aca="false">0.5*((C6*C22)/(C25*C15))</f>
        <v>5.8095010984456E-005</v>
      </c>
      <c r="D28" s="0" t="s">
        <v>55</v>
      </c>
    </row>
    <row r="29" customFormat="false" ht="12.8" hidden="false" customHeight="false" outlineLevel="0" collapsed="false">
      <c r="A29" s="15"/>
      <c r="B29" s="18" t="s">
        <v>56</v>
      </c>
      <c r="C29" s="19" t="n">
        <f aca="false">(C9*C28*(C16*C22))/(C62*C6)</f>
        <v>4.36090392815557E-006</v>
      </c>
      <c r="D29" s="0" t="s">
        <v>57</v>
      </c>
    </row>
    <row r="30" customFormat="false" ht="12.8" hidden="false" customHeight="false" outlineLevel="0" collapsed="false">
      <c r="A30" s="15"/>
      <c r="B30" s="16" t="s">
        <v>58</v>
      </c>
      <c r="C30" s="9" t="n">
        <f aca="false">C13+(C25/2)</f>
        <v>5.13663447709061</v>
      </c>
      <c r="D30" s="0" t="s">
        <v>59</v>
      </c>
    </row>
    <row r="31" customFormat="false" ht="12.8" hidden="false" customHeight="false" outlineLevel="0" collapsed="false">
      <c r="A31" s="15"/>
      <c r="B31" s="16" t="s">
        <v>60</v>
      </c>
      <c r="C31" s="9" t="n">
        <f aca="false">C9+C25/2</f>
        <v>5.32039146046748</v>
      </c>
      <c r="D31" s="0" t="s">
        <v>61</v>
      </c>
    </row>
    <row r="32" customFormat="false" ht="12.8" hidden="false" customHeight="false" outlineLevel="0" collapsed="false">
      <c r="A32" s="15"/>
      <c r="B32" s="16" t="s">
        <v>62</v>
      </c>
      <c r="C32" s="9" t="n">
        <f aca="false">C30+C31</f>
        <v>10.4570259375581</v>
      </c>
      <c r="D32" s="0" t="s">
        <v>63</v>
      </c>
    </row>
    <row r="33" customFormat="false" ht="12.8" hidden="false" customHeight="false" outlineLevel="0" collapsed="false">
      <c r="A33" s="15"/>
      <c r="B33" s="16" t="s">
        <v>64</v>
      </c>
      <c r="C33" s="9" t="n">
        <f aca="false">C13+((C26))</f>
        <v>4.77480161392167</v>
      </c>
      <c r="D33" s="0" t="s">
        <v>65</v>
      </c>
    </row>
    <row r="34" customFormat="false" ht="12.8" hidden="false" customHeight="false" outlineLevel="0" collapsed="false">
      <c r="A34" s="15"/>
      <c r="B34" s="16" t="s">
        <v>66</v>
      </c>
      <c r="C34" s="9" t="n">
        <f aca="false">C9+C26</f>
        <v>4.95855859729854</v>
      </c>
      <c r="D34" s="0" t="s">
        <v>67</v>
      </c>
    </row>
    <row r="35" customFormat="false" ht="12.8" hidden="false" customHeight="false" outlineLevel="0" collapsed="false">
      <c r="A35" s="15"/>
      <c r="B35" s="16" t="s">
        <v>68</v>
      </c>
      <c r="C35" s="9" t="n">
        <f aca="false">C33+C34</f>
        <v>9.73336021122022</v>
      </c>
      <c r="D35" s="0" t="s">
        <v>69</v>
      </c>
    </row>
    <row r="36" customFormat="false" ht="12.8" hidden="false" customHeight="false" outlineLevel="0" collapsed="false">
      <c r="A36" s="15"/>
      <c r="B36" s="16" t="s">
        <v>70</v>
      </c>
      <c r="C36" s="10" t="n">
        <v>0.2</v>
      </c>
      <c r="D36" s="0" t="s">
        <v>71</v>
      </c>
    </row>
    <row r="37" customFormat="false" ht="12.8" hidden="false" customHeight="false" outlineLevel="0" collapsed="false">
      <c r="A37" s="15"/>
      <c r="B37" s="18" t="s">
        <v>72</v>
      </c>
      <c r="C37" s="20" t="n">
        <f aca="false">C32*(1+C36)</f>
        <v>12.5484311250697</v>
      </c>
      <c r="D37" s="0" t="s">
        <v>73</v>
      </c>
    </row>
    <row r="38" customFormat="false" ht="12.8" hidden="false" customHeight="true" outlineLevel="0" collapsed="false">
      <c r="A38" s="21" t="s">
        <v>74</v>
      </c>
      <c r="B38" s="22" t="s">
        <v>75</v>
      </c>
      <c r="C38" s="23" t="n">
        <v>19</v>
      </c>
      <c r="D38" s="0" t="s">
        <v>76</v>
      </c>
    </row>
    <row r="39" customFormat="false" ht="12.8" hidden="false" customHeight="false" outlineLevel="0" collapsed="false">
      <c r="A39" s="21"/>
      <c r="B39" s="22" t="s">
        <v>77</v>
      </c>
      <c r="C39" s="23" t="n">
        <v>2</v>
      </c>
      <c r="D39" s="0" t="s">
        <v>78</v>
      </c>
    </row>
    <row r="40" customFormat="false" ht="12.8" hidden="false" customHeight="false" outlineLevel="0" collapsed="false">
      <c r="A40" s="21"/>
      <c r="B40" s="22" t="s">
        <v>79</v>
      </c>
      <c r="C40" s="23" t="n">
        <v>22</v>
      </c>
      <c r="D40" s="0" t="s">
        <v>80</v>
      </c>
    </row>
    <row r="41" customFormat="false" ht="12.8" hidden="false" customHeight="false" outlineLevel="0" collapsed="false">
      <c r="A41" s="21"/>
      <c r="B41" s="22" t="s">
        <v>81</v>
      </c>
      <c r="C41" s="24" t="n">
        <f aca="false">VLOOKUP(C40,wireawg!$A$5:$L$44,3,0)/10</f>
        <v>0.0644</v>
      </c>
      <c r="D41" s="0" t="s">
        <v>82</v>
      </c>
    </row>
    <row r="42" customFormat="false" ht="12.8" hidden="false" customHeight="false" outlineLevel="0" collapsed="false">
      <c r="A42" s="21"/>
      <c r="B42" s="22" t="s">
        <v>83</v>
      </c>
      <c r="C42" s="25" t="n">
        <f aca="false">61/10</f>
        <v>6.1</v>
      </c>
      <c r="D42" s="0" t="s">
        <v>84</v>
      </c>
    </row>
    <row r="43" customFormat="false" ht="12.8" hidden="false" customHeight="false" outlineLevel="0" collapsed="false">
      <c r="A43" s="21"/>
      <c r="B43" s="22" t="s">
        <v>85</v>
      </c>
      <c r="C43" s="26" t="n">
        <v>1.6E-007</v>
      </c>
      <c r="D43" s="0" t="s">
        <v>86</v>
      </c>
    </row>
    <row r="44" customFormat="false" ht="12.8" hidden="false" customHeight="false" outlineLevel="0" collapsed="false">
      <c r="A44" s="21"/>
      <c r="B44" s="22" t="s">
        <v>87</v>
      </c>
      <c r="C44" s="25" t="n">
        <f aca="false">14.6/10</f>
        <v>1.46</v>
      </c>
      <c r="D44" s="0" t="s">
        <v>88</v>
      </c>
    </row>
    <row r="45" customFormat="false" ht="12.8" hidden="false" customHeight="false" outlineLevel="0" collapsed="false">
      <c r="A45" s="21"/>
      <c r="B45" s="22" t="s">
        <v>89</v>
      </c>
      <c r="C45" s="27" t="n">
        <f aca="false">ROUNDUP(C38*C42,0)</f>
        <v>116</v>
      </c>
      <c r="D45" s="0" t="s">
        <v>90</v>
      </c>
    </row>
    <row r="46" customFormat="false" ht="12.8" hidden="false" customHeight="false" outlineLevel="0" collapsed="false">
      <c r="A46" s="21"/>
      <c r="B46" s="22" t="s">
        <v>91</v>
      </c>
      <c r="C46" s="27" t="n">
        <f aca="false">ROUNDDOWN(C44/(C41*C39),0)</f>
        <v>11</v>
      </c>
      <c r="D46" s="0" t="s">
        <v>92</v>
      </c>
    </row>
    <row r="47" customFormat="false" ht="12.8" hidden="false" customHeight="false" outlineLevel="0" collapsed="false">
      <c r="A47" s="21"/>
      <c r="B47" s="22" t="s">
        <v>93</v>
      </c>
      <c r="C47" s="27" t="n">
        <f aca="false">ROUNDUP(C38/C46,0)</f>
        <v>2</v>
      </c>
      <c r="D47" s="0" t="s">
        <v>94</v>
      </c>
    </row>
    <row r="48" customFormat="false" ht="12.8" hidden="false" customHeight="false" outlineLevel="0" collapsed="false">
      <c r="A48" s="21"/>
      <c r="B48" s="22" t="s">
        <v>95</v>
      </c>
      <c r="C48" s="28" t="n">
        <f aca="false">C41*C47</f>
        <v>0.1288</v>
      </c>
      <c r="D48" s="0" t="s">
        <v>96</v>
      </c>
    </row>
    <row r="49" customFormat="false" ht="12.8" hidden="false" customHeight="false" outlineLevel="0" collapsed="false">
      <c r="A49" s="21"/>
      <c r="B49" s="22" t="s">
        <v>97</v>
      </c>
      <c r="C49" s="25" t="n">
        <f aca="false">0.08/10</f>
        <v>0.008</v>
      </c>
      <c r="D49" s="0" t="s">
        <v>98</v>
      </c>
    </row>
    <row r="50" customFormat="false" ht="12.8" hidden="false" customHeight="false" outlineLevel="0" collapsed="false">
      <c r="A50" s="21"/>
      <c r="B50" s="22" t="s">
        <v>99</v>
      </c>
      <c r="C50" s="23" t="n">
        <v>25</v>
      </c>
      <c r="D50" s="0" t="s">
        <v>100</v>
      </c>
    </row>
    <row r="51" customFormat="false" ht="12.8" hidden="false" customHeight="false" outlineLevel="0" collapsed="false">
      <c r="A51" s="21"/>
      <c r="B51" s="22" t="s">
        <v>101</v>
      </c>
      <c r="C51" s="28" t="n">
        <f aca="false">C49*C50</f>
        <v>0.2</v>
      </c>
      <c r="D51" s="0" t="s">
        <v>102</v>
      </c>
    </row>
    <row r="52" customFormat="false" ht="12.8" hidden="false" customHeight="false" outlineLevel="0" collapsed="false">
      <c r="A52" s="21"/>
      <c r="B52" s="22" t="s">
        <v>103</v>
      </c>
      <c r="C52" s="14" t="n">
        <f aca="false">C43*POWER(C38,2)</f>
        <v>5.776E-005</v>
      </c>
      <c r="D52" s="0" t="s">
        <v>104</v>
      </c>
    </row>
    <row r="53" customFormat="false" ht="12.8" hidden="false" customHeight="false" outlineLevel="0" collapsed="false">
      <c r="A53" s="21"/>
      <c r="B53" s="29" t="s">
        <v>105</v>
      </c>
      <c r="C53" s="19" t="n">
        <f aca="false">((4*PI()*C42*POWER(C38,2))/C44)*(C51+(C48*2)/3)*POWER(10,-9)</f>
        <v>5.41823157450808E-006</v>
      </c>
      <c r="D53" s="0" t="s">
        <v>106</v>
      </c>
    </row>
    <row r="54" customFormat="false" ht="12.8" hidden="false" customHeight="false" outlineLevel="0" collapsed="false">
      <c r="A54" s="21"/>
      <c r="B54" s="29" t="s">
        <v>107</v>
      </c>
      <c r="C54" s="30" t="n">
        <f aca="false">C53/C28</f>
        <v>0.0932650064556798</v>
      </c>
      <c r="D54" s="0" t="s">
        <v>108</v>
      </c>
    </row>
    <row r="55" customFormat="false" ht="12.8" hidden="false" customHeight="false" outlineLevel="0" collapsed="false">
      <c r="A55" s="21"/>
      <c r="B55" s="29" t="s">
        <v>109</v>
      </c>
      <c r="C55" s="28" t="n">
        <f aca="false">C48*2+C51</f>
        <v>0.4576</v>
      </c>
      <c r="D55" s="0" t="s">
        <v>110</v>
      </c>
    </row>
    <row r="56" customFormat="false" ht="12.8" hidden="false" customHeight="false" outlineLevel="0" collapsed="false">
      <c r="A56" s="21"/>
      <c r="B56" s="22" t="s">
        <v>111</v>
      </c>
      <c r="C56" s="28" t="n">
        <f aca="false">2*PI()*C15*C53</f>
        <v>5.10656295297685</v>
      </c>
      <c r="D56" s="0" t="s">
        <v>112</v>
      </c>
    </row>
    <row r="57" customFormat="false" ht="12.8" hidden="false" customHeight="false" outlineLevel="0" collapsed="false">
      <c r="A57" s="21"/>
      <c r="B57" s="22" t="s">
        <v>113</v>
      </c>
      <c r="C57" s="31" t="n">
        <f aca="false">C64/C56</f>
        <v>0.406385989356021</v>
      </c>
      <c r="D57" s="0" t="s">
        <v>114</v>
      </c>
    </row>
    <row r="58" customFormat="false" ht="12.8" hidden="false" customHeight="false" outlineLevel="0" collapsed="false">
      <c r="A58" s="32" t="s">
        <v>115</v>
      </c>
      <c r="B58" s="33" t="s">
        <v>116</v>
      </c>
      <c r="C58" s="10" t="n">
        <v>0.2</v>
      </c>
      <c r="D58" s="0" t="s">
        <v>117</v>
      </c>
    </row>
    <row r="59" customFormat="false" ht="12.8" hidden="false" customHeight="false" outlineLevel="0" collapsed="false">
      <c r="A59" s="32"/>
      <c r="B59" s="33" t="s">
        <v>118</v>
      </c>
      <c r="C59" s="34" t="n">
        <f aca="false">C30*(1+C58)</f>
        <v>6.16396137250873</v>
      </c>
      <c r="D59" s="0" t="s">
        <v>119</v>
      </c>
    </row>
    <row r="60" customFormat="false" ht="12.8" hidden="false" customHeight="false" outlineLevel="0" collapsed="false">
      <c r="A60" s="32"/>
      <c r="B60" s="33" t="s">
        <v>120</v>
      </c>
      <c r="C60" s="35" t="n">
        <v>2</v>
      </c>
      <c r="D60" s="0" t="s">
        <v>121</v>
      </c>
    </row>
    <row r="61" customFormat="false" ht="12.8" hidden="false" customHeight="false" outlineLevel="0" collapsed="false">
      <c r="A61" s="32"/>
      <c r="B61" s="36" t="s">
        <v>122</v>
      </c>
      <c r="C61" s="19" t="n">
        <f aca="false">(C59*(C16-(C16*C18)))/(2*(C4-C60))</f>
        <v>3.84133598346591E-007</v>
      </c>
      <c r="D61" s="0" t="s">
        <v>123</v>
      </c>
      <c r="E61" s="37"/>
    </row>
    <row r="62" customFormat="false" ht="12.8" hidden="false" customHeight="false" outlineLevel="0" collapsed="false">
      <c r="A62" s="32"/>
      <c r="B62" s="33" t="s">
        <v>124</v>
      </c>
      <c r="C62" s="38" t="n">
        <v>3E-006</v>
      </c>
      <c r="D62" s="0" t="s">
        <v>125</v>
      </c>
      <c r="E62" s="2" t="s">
        <v>126</v>
      </c>
      <c r="F62" s="0" t="s">
        <v>127</v>
      </c>
      <c r="G62" s="2" t="n">
        <v>2</v>
      </c>
      <c r="H62" s="0" t="s">
        <v>128</v>
      </c>
    </row>
    <row r="63" customFormat="false" ht="12.8" hidden="false" customHeight="false" outlineLevel="0" collapsed="false">
      <c r="A63" s="32"/>
      <c r="B63" s="33" t="s">
        <v>129</v>
      </c>
      <c r="C63" s="39" t="n">
        <f aca="false">(C59*(C16-(C16*C22)))/C62</f>
        <v>7.18882712488251</v>
      </c>
      <c r="D63" s="0" t="s">
        <v>130</v>
      </c>
      <c r="E63" s="2"/>
    </row>
    <row r="64" customFormat="false" ht="12.8" hidden="false" customHeight="false" outlineLevel="0" collapsed="false">
      <c r="A64" s="32"/>
      <c r="B64" s="33" t="s">
        <v>131</v>
      </c>
      <c r="C64" s="39" t="n">
        <f aca="false">(C63/2)/SQRT(3)</f>
        <v>2.0752356378543</v>
      </c>
      <c r="D64" s="0" t="s">
        <v>132</v>
      </c>
      <c r="E64" s="2"/>
    </row>
    <row r="65" customFormat="false" ht="12.8" hidden="false" customHeight="false" outlineLevel="0" collapsed="false">
      <c r="A65" s="32"/>
      <c r="B65" s="33" t="s">
        <v>133</v>
      </c>
      <c r="C65" s="34" t="n">
        <f aca="false">(C63/2)+C5</f>
        <v>83.5944135624412</v>
      </c>
      <c r="D65" s="0" t="s">
        <v>134</v>
      </c>
      <c r="E65" s="2"/>
    </row>
    <row r="66" customFormat="false" ht="12.8" hidden="false" customHeight="false" outlineLevel="0" collapsed="false">
      <c r="A66" s="32"/>
      <c r="B66" s="36" t="s">
        <v>135</v>
      </c>
      <c r="C66" s="40" t="n">
        <f aca="false">(C59*(C16-(C16*C18)))/C62</f>
        <v>2.04871252451515</v>
      </c>
      <c r="D66" s="0" t="s">
        <v>136</v>
      </c>
      <c r="E66" s="2"/>
    </row>
    <row r="67" customFormat="false" ht="12.8" hidden="false" customHeight="false" outlineLevel="0" collapsed="false">
      <c r="A67" s="32"/>
      <c r="B67" s="36" t="s">
        <v>137</v>
      </c>
      <c r="C67" s="40" t="n">
        <f aca="false">C13*SQRT((1-C22)/C22)</f>
        <v>4.49856303780315</v>
      </c>
      <c r="D67" s="0" t="s">
        <v>138</v>
      </c>
      <c r="E67" s="2"/>
    </row>
    <row r="68" customFormat="false" ht="12.8" hidden="false" customHeight="false" outlineLevel="0" collapsed="false">
      <c r="A68" s="32"/>
      <c r="B68" s="36" t="s">
        <v>139</v>
      </c>
      <c r="C68" s="41" t="n">
        <f aca="false">1/(2*PI()*SQRT(C62*C53))</f>
        <v>39475.7802656016</v>
      </c>
      <c r="D68" s="0" t="s">
        <v>140</v>
      </c>
      <c r="E68" s="2"/>
    </row>
    <row r="69" customFormat="false" ht="12.8" hidden="false" customHeight="false" outlineLevel="0" collapsed="false">
      <c r="A69" s="32"/>
      <c r="B69" s="33" t="s">
        <v>141</v>
      </c>
      <c r="C69" s="34" t="n">
        <f aca="false">SQRT(C53/C62)</f>
        <v>1.34390371362784</v>
      </c>
      <c r="D69" s="0" t="s">
        <v>142</v>
      </c>
      <c r="E69" s="2"/>
    </row>
    <row r="70" customFormat="false" ht="12.8" hidden="false" customHeight="false" outlineLevel="0" collapsed="false">
      <c r="A70" s="32"/>
      <c r="B70" s="33" t="s">
        <v>143</v>
      </c>
      <c r="C70" s="34" t="n">
        <f aca="false">C69/2</f>
        <v>0.671951856813919</v>
      </c>
      <c r="D70" s="0" t="s">
        <v>144</v>
      </c>
      <c r="E70" s="2"/>
    </row>
    <row r="71" customFormat="false" ht="12.8" hidden="false" customHeight="false" outlineLevel="0" collapsed="false">
      <c r="A71" s="32"/>
      <c r="B71" s="33" t="s">
        <v>145</v>
      </c>
      <c r="C71" s="42" t="n">
        <f aca="false">1/(2*PI()*C68*C70)</f>
        <v>6E-006</v>
      </c>
      <c r="D71" s="0" t="s">
        <v>146</v>
      </c>
      <c r="E71" s="2"/>
    </row>
    <row r="72" customFormat="false" ht="12.8" hidden="false" customHeight="false" outlineLevel="0" collapsed="false">
      <c r="A72" s="32"/>
      <c r="B72" s="33" t="s">
        <v>147</v>
      </c>
      <c r="C72" s="35" t="n">
        <v>1</v>
      </c>
      <c r="D72" s="0" t="s">
        <v>148</v>
      </c>
      <c r="E72" s="2" t="n">
        <v>1</v>
      </c>
      <c r="F72" s="0" t="s">
        <v>149</v>
      </c>
      <c r="G72" s="2" t="n">
        <v>1</v>
      </c>
      <c r="H72" s="0" t="s">
        <v>150</v>
      </c>
    </row>
    <row r="73" customFormat="false" ht="12.8" hidden="false" customHeight="false" outlineLevel="0" collapsed="false">
      <c r="A73" s="32"/>
      <c r="B73" s="33" t="s">
        <v>151</v>
      </c>
      <c r="C73" s="38" t="n">
        <v>1.5E-006</v>
      </c>
      <c r="D73" s="0" t="s">
        <v>152</v>
      </c>
      <c r="E73" s="2" t="s">
        <v>126</v>
      </c>
      <c r="F73" s="0" t="s">
        <v>127</v>
      </c>
      <c r="G73" s="2" t="n">
        <v>1</v>
      </c>
      <c r="H73" s="0" t="s">
        <v>128</v>
      </c>
    </row>
    <row r="74" customFormat="false" ht="12.8" hidden="false" customHeight="false" outlineLevel="0" collapsed="false">
      <c r="A74" s="32"/>
      <c r="B74" s="33" t="s">
        <v>153</v>
      </c>
      <c r="C74" s="34" t="n">
        <f aca="false">C72+(1/(2*PI()*C68*C73))</f>
        <v>3.68780742725567</v>
      </c>
      <c r="D74" s="0" t="s">
        <v>154</v>
      </c>
    </row>
    <row r="75" customFormat="false" ht="12.8" hidden="false" customHeight="false" outlineLevel="0" collapsed="false">
      <c r="A75" s="32"/>
      <c r="B75" s="36" t="s">
        <v>155</v>
      </c>
      <c r="C75" s="40" t="n">
        <f aca="false">C74/C69</f>
        <v>2.74410092766283</v>
      </c>
      <c r="D75" s="0" t="s">
        <v>156</v>
      </c>
    </row>
    <row r="76" customFormat="false" ht="12.8" hidden="false" customHeight="false" outlineLevel="0" collapsed="false">
      <c r="A76" s="32"/>
      <c r="B76" s="33" t="s">
        <v>157</v>
      </c>
      <c r="C76" s="34" t="n">
        <f aca="false">C72+(1/(2*PI()*C15*C73))</f>
        <v>1.70735530263065</v>
      </c>
      <c r="D76" s="0" t="s">
        <v>158</v>
      </c>
    </row>
    <row r="77" customFormat="false" ht="12.8" hidden="false" customHeight="false" outlineLevel="0" collapsed="false">
      <c r="A77" s="32"/>
      <c r="B77" s="33" t="s">
        <v>159</v>
      </c>
      <c r="C77" s="34" t="n">
        <f aca="false">1/(2*PI()*C15*C62)</f>
        <v>0.353677651315323</v>
      </c>
      <c r="D77" s="0" t="s">
        <v>160</v>
      </c>
    </row>
    <row r="78" customFormat="false" ht="12.8" hidden="false" customHeight="false" outlineLevel="0" collapsed="false">
      <c r="A78" s="32"/>
      <c r="B78" s="33" t="s">
        <v>161</v>
      </c>
      <c r="C78" s="34" t="n">
        <f aca="false">C76/C77</f>
        <v>4.82743338823081</v>
      </c>
      <c r="D78" s="0" t="s">
        <v>162</v>
      </c>
    </row>
    <row r="79" customFormat="false" ht="12.8" hidden="false" customHeight="false" outlineLevel="0" collapsed="false">
      <c r="A79" s="32"/>
      <c r="B79" s="36" t="s">
        <v>163</v>
      </c>
      <c r="C79" s="40" t="n">
        <f aca="false">POWER(((((C33*(C16-(C16*C22)))/C62)/2)/SQRT(3))/C76,2)*C72</f>
        <v>0.886498214912984</v>
      </c>
      <c r="D79" s="0" t="s">
        <v>164</v>
      </c>
    </row>
    <row r="80" customFormat="false" ht="12.8" hidden="false" customHeight="true" outlineLevel="0" collapsed="false">
      <c r="A80" s="43" t="s">
        <v>165</v>
      </c>
      <c r="B80" s="44" t="s">
        <v>166</v>
      </c>
      <c r="C80" s="45" t="n">
        <v>152</v>
      </c>
      <c r="D80" s="0" t="s">
        <v>167</v>
      </c>
    </row>
    <row r="81" customFormat="false" ht="12.8" hidden="false" customHeight="false" outlineLevel="0" collapsed="false">
      <c r="A81" s="43"/>
      <c r="B81" s="44" t="s">
        <v>168</v>
      </c>
      <c r="C81" s="12" t="n">
        <v>0.3</v>
      </c>
      <c r="D81" s="0" t="s">
        <v>169</v>
      </c>
    </row>
    <row r="82" customFormat="false" ht="12.8" hidden="false" customHeight="false" outlineLevel="0" collapsed="false">
      <c r="A82" s="43"/>
      <c r="B82" s="44" t="s">
        <v>170</v>
      </c>
      <c r="C82" s="8" t="n">
        <v>10</v>
      </c>
      <c r="D82" s="0" t="s">
        <v>171</v>
      </c>
    </row>
    <row r="83" customFormat="false" ht="12.8" hidden="false" customHeight="false" outlineLevel="0" collapsed="false">
      <c r="A83" s="43"/>
      <c r="B83" s="44" t="s">
        <v>172</v>
      </c>
      <c r="C83" s="46" t="n">
        <f aca="false">VLOOKUP(C82,wireawg!$A$5:$L$44,3,0)/10</f>
        <v>0.2588</v>
      </c>
      <c r="D83" s="0" t="s">
        <v>173</v>
      </c>
    </row>
    <row r="84" customFormat="false" ht="12.8" hidden="false" customHeight="false" outlineLevel="0" collapsed="false">
      <c r="A84" s="43"/>
      <c r="B84" s="44" t="s">
        <v>174</v>
      </c>
      <c r="C84" s="47" t="n">
        <f aca="false">(4*C80*LN((2*C81)/C83))*POWER(10,-9)</f>
        <v>5.11251448294356E-007</v>
      </c>
      <c r="D84" s="0" t="s">
        <v>175</v>
      </c>
    </row>
    <row r="85" customFormat="false" ht="12.8" hidden="false" customHeight="false" outlineLevel="0" collapsed="false">
      <c r="A85" s="43"/>
      <c r="B85" s="44" t="s">
        <v>176</v>
      </c>
      <c r="C85" s="48" t="n">
        <v>0.1</v>
      </c>
      <c r="D85" s="0" t="s">
        <v>177</v>
      </c>
    </row>
    <row r="86" customFormat="false" ht="12.8" hidden="false" customHeight="false" outlineLevel="0" collapsed="false">
      <c r="A86" s="43"/>
      <c r="B86" s="44" t="s">
        <v>178</v>
      </c>
      <c r="C86" s="49" t="n">
        <v>0.3</v>
      </c>
      <c r="D86" s="0" t="s">
        <v>179</v>
      </c>
    </row>
    <row r="87" customFormat="false" ht="12.8" hidden="false" customHeight="false" outlineLevel="0" collapsed="false">
      <c r="A87" s="43"/>
      <c r="B87" s="44" t="s">
        <v>180</v>
      </c>
      <c r="C87" s="24" t="n">
        <f aca="false">C85*(1-C86)</f>
        <v>0.07</v>
      </c>
      <c r="D87" s="0" t="s">
        <v>181</v>
      </c>
    </row>
    <row r="88" customFormat="false" ht="12.8" hidden="false" customHeight="false" outlineLevel="0" collapsed="false">
      <c r="A88" s="43"/>
      <c r="B88" s="44" t="s">
        <v>182</v>
      </c>
      <c r="C88" s="24" t="n">
        <f aca="false">C87/C25</f>
        <v>0.0408828</v>
      </c>
      <c r="D88" s="0" t="s">
        <v>183</v>
      </c>
    </row>
    <row r="89" customFormat="false" ht="12.8" hidden="false" customHeight="false" outlineLevel="0" collapsed="false">
      <c r="A89" s="43"/>
      <c r="B89" s="44" t="s">
        <v>184</v>
      </c>
      <c r="C89" s="50" t="n">
        <f aca="false">C88/(2*PI()*C84)</f>
        <v>12727.0049388517</v>
      </c>
      <c r="D89" s="0" t="s">
        <v>185</v>
      </c>
    </row>
    <row r="90" customFormat="false" ht="12.8" hidden="false" customHeight="false" outlineLevel="0" collapsed="false">
      <c r="A90" s="43"/>
      <c r="B90" s="51" t="s">
        <v>186</v>
      </c>
      <c r="C90" s="52" t="n">
        <f aca="false">1/(2*PI()*C89*C88)</f>
        <v>0.000305881553142537</v>
      </c>
      <c r="D90" s="0" t="s">
        <v>187</v>
      </c>
      <c r="E90" s="0" t="s">
        <v>188</v>
      </c>
      <c r="F90" s="0" t="s">
        <v>189</v>
      </c>
      <c r="G90" s="2" t="n">
        <v>1</v>
      </c>
      <c r="H90" s="0" t="s">
        <v>190</v>
      </c>
    </row>
    <row r="91" customFormat="false" ht="12.8" hidden="false" customHeight="false" outlineLevel="0" collapsed="false">
      <c r="A91" s="43"/>
      <c r="B91" s="51" t="s">
        <v>191</v>
      </c>
      <c r="C91" s="40" t="n">
        <f aca="false">C25/SQRT(3)</f>
        <v>0.988545766025659</v>
      </c>
      <c r="D91" s="0" t="s">
        <v>192</v>
      </c>
      <c r="H91" s="0" t="s">
        <v>193</v>
      </c>
    </row>
    <row r="92" customFormat="false" ht="12.8" hidden="false" customHeight="true" outlineLevel="0" collapsed="false">
      <c r="A92" s="53" t="s">
        <v>194</v>
      </c>
      <c r="B92" s="54" t="s">
        <v>195</v>
      </c>
      <c r="C92" s="12" t="n">
        <v>0.1</v>
      </c>
      <c r="D92" s="0" t="s">
        <v>196</v>
      </c>
    </row>
    <row r="93" customFormat="false" ht="12.8" hidden="false" customHeight="false" outlineLevel="0" collapsed="false">
      <c r="A93" s="53"/>
      <c r="B93" s="55" t="s">
        <v>197</v>
      </c>
      <c r="C93" s="19" t="n">
        <f aca="false">(C9*C16*C22)/C92</f>
        <v>0.000141422522544033</v>
      </c>
      <c r="D93" s="0" t="s">
        <v>198</v>
      </c>
    </row>
    <row r="94" customFormat="false" ht="12.8" hidden="false" customHeight="false" outlineLevel="0" collapsed="false">
      <c r="A94" s="53"/>
      <c r="B94" s="54" t="s">
        <v>199</v>
      </c>
      <c r="C94" s="26" t="n">
        <f aca="false">0.00022*2</f>
        <v>0.00044</v>
      </c>
      <c r="D94" s="0" t="s">
        <v>200</v>
      </c>
      <c r="E94" s="0" t="s">
        <v>201</v>
      </c>
      <c r="F94" s="0" t="s">
        <v>202</v>
      </c>
      <c r="G94" s="2" t="n">
        <v>2</v>
      </c>
      <c r="H94" s="0" t="s">
        <v>203</v>
      </c>
    </row>
    <row r="95" customFormat="false" ht="12.8" hidden="false" customHeight="false" outlineLevel="0" collapsed="false">
      <c r="A95" s="53"/>
      <c r="B95" s="54" t="s">
        <v>204</v>
      </c>
      <c r="C95" s="12" t="n">
        <f aca="false">0.054/2</f>
        <v>0.027</v>
      </c>
      <c r="D95" s="0" t="s">
        <v>205</v>
      </c>
      <c r="H95" s="0" t="s">
        <v>206</v>
      </c>
    </row>
    <row r="96" customFormat="false" ht="12.8" hidden="false" customHeight="false" outlineLevel="0" collapsed="false">
      <c r="A96" s="53"/>
      <c r="B96" s="55" t="s">
        <v>207</v>
      </c>
      <c r="C96" s="40" t="n">
        <f aca="false">((C9*C16*C22)/C94)+(C95*C9)</f>
        <v>0.152677196682086</v>
      </c>
      <c r="D96" s="0" t="s">
        <v>208</v>
      </c>
    </row>
    <row r="97" customFormat="false" ht="12.8" hidden="false" customHeight="false" outlineLevel="0" collapsed="false">
      <c r="A97" s="53"/>
      <c r="B97" s="55" t="s">
        <v>209</v>
      </c>
      <c r="C97" s="20" t="n">
        <f aca="false">C9*SQRT(C22/(1-C22))</f>
        <v>4.2479127451147</v>
      </c>
      <c r="D97" s="0" t="s">
        <v>210</v>
      </c>
    </row>
  </sheetData>
  <mergeCells count="9">
    <mergeCell ref="A1:H1"/>
    <mergeCell ref="A2:D2"/>
    <mergeCell ref="E2:H2"/>
    <mergeCell ref="A4:A23"/>
    <mergeCell ref="A24:A37"/>
    <mergeCell ref="A38:A57"/>
    <mergeCell ref="A58:A79"/>
    <mergeCell ref="A80:A91"/>
    <mergeCell ref="A92:A97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4.47265625" defaultRowHeight="12.8" zeroHeight="false" outlineLevelRow="0" outlineLevelCol="0"/>
  <cols>
    <col collapsed="false" customWidth="true" hidden="false" outlineLevel="0" max="1" min="1" style="86" width="58.95"/>
    <col collapsed="false" customWidth="true" hidden="false" outlineLevel="0" max="2" min="2" style="86" width="15.74"/>
    <col collapsed="false" customWidth="true" hidden="false" outlineLevel="0" max="3" min="3" style="378" width="75.67"/>
    <col collapsed="false" customWidth="true" hidden="false" outlineLevel="0" max="4" min="4" style="86" width="24.86"/>
    <col collapsed="false" customWidth="true" hidden="false" outlineLevel="0" max="5" min="5" style="86" width="70.59"/>
    <col collapsed="false" customWidth="false" hidden="false" outlineLevel="0" max="64" min="6" style="86" width="14.45"/>
    <col collapsed="false" customWidth="true" hidden="false" outlineLevel="0" max="1024" min="1024" style="86" width="11.52"/>
  </cols>
  <sheetData>
    <row r="1" customFormat="false" ht="12.8" hidden="false" customHeight="false" outlineLevel="0" collapsed="false">
      <c r="A1" s="93" t="s">
        <v>784</v>
      </c>
      <c r="B1" s="93"/>
      <c r="C1" s="93"/>
      <c r="E1" s="379"/>
    </row>
    <row r="2" customFormat="false" ht="12.8" hidden="false" customHeight="false" outlineLevel="0" collapsed="false">
      <c r="A2" s="103" t="s">
        <v>709</v>
      </c>
      <c r="B2" s="380" t="s">
        <v>5</v>
      </c>
      <c r="C2" s="381" t="s">
        <v>6</v>
      </c>
      <c r="E2" s="379"/>
    </row>
    <row r="3" customFormat="false" ht="12.8" hidden="false" customHeight="false" outlineLevel="0" collapsed="false">
      <c r="A3" s="382"/>
      <c r="B3" s="383"/>
      <c r="C3" s="384"/>
      <c r="E3" s="379"/>
    </row>
    <row r="4" customFormat="false" ht="12.8" hidden="false" customHeight="false" outlineLevel="0" collapsed="false">
      <c r="A4" s="382" t="s">
        <v>785</v>
      </c>
      <c r="B4" s="385" t="s">
        <v>786</v>
      </c>
      <c r="C4" s="386"/>
      <c r="E4" s="379"/>
    </row>
    <row r="5" customFormat="false" ht="12.8" hidden="false" customHeight="false" outlineLevel="0" collapsed="false">
      <c r="A5" s="382" t="s">
        <v>787</v>
      </c>
      <c r="B5" s="387" t="n">
        <v>13</v>
      </c>
      <c r="C5" s="386"/>
      <c r="E5" s="379"/>
    </row>
    <row r="6" customFormat="false" ht="12.8" hidden="false" customHeight="false" outlineLevel="0" collapsed="false">
      <c r="A6" s="382" t="s">
        <v>788</v>
      </c>
      <c r="B6" s="387" t="n">
        <v>7076</v>
      </c>
      <c r="C6" s="386"/>
      <c r="E6" s="379"/>
    </row>
    <row r="7" customFormat="false" ht="12.8" hidden="false" customHeight="false" outlineLevel="0" collapsed="false">
      <c r="A7" s="382" t="s">
        <v>789</v>
      </c>
      <c r="B7" s="387" t="n">
        <v>398</v>
      </c>
      <c r="C7" s="386"/>
      <c r="E7" s="379"/>
    </row>
    <row r="8" customFormat="false" ht="12.8" hidden="false" customHeight="false" outlineLevel="0" collapsed="false">
      <c r="A8" s="382" t="s">
        <v>790</v>
      </c>
      <c r="B8" s="388" t="n">
        <v>1E-008</v>
      </c>
      <c r="C8" s="386" t="s">
        <v>791</v>
      </c>
      <c r="E8" s="379"/>
    </row>
    <row r="9" customFormat="false" ht="12.8" hidden="false" customHeight="false" outlineLevel="0" collapsed="false">
      <c r="A9" s="350" t="s">
        <v>792</v>
      </c>
      <c r="B9" s="388" t="n">
        <v>8E-009</v>
      </c>
      <c r="C9" s="386" t="s">
        <v>791</v>
      </c>
      <c r="E9" s="379"/>
    </row>
    <row r="10" customFormat="false" ht="12.8" hidden="false" customHeight="false" outlineLevel="0" collapsed="false">
      <c r="A10" s="382" t="s">
        <v>793</v>
      </c>
      <c r="B10" s="389" t="n">
        <v>125</v>
      </c>
      <c r="C10" s="386"/>
      <c r="E10" s="379"/>
    </row>
    <row r="11" customFormat="false" ht="12.8" hidden="false" customHeight="false" outlineLevel="0" collapsed="false">
      <c r="A11" s="382" t="s">
        <v>794</v>
      </c>
      <c r="B11" s="390" t="n">
        <f aca="false">design!C6+design!C7</f>
        <v>118.8</v>
      </c>
      <c r="C11" s="386"/>
      <c r="E11" s="379"/>
    </row>
    <row r="12" customFormat="false" ht="12.8" hidden="false" customHeight="false" outlineLevel="0" collapsed="false">
      <c r="A12" s="382" t="s">
        <v>795</v>
      </c>
      <c r="B12" s="391" t="n">
        <v>12</v>
      </c>
      <c r="C12" s="386"/>
      <c r="E12" s="379"/>
    </row>
    <row r="13" customFormat="false" ht="12.8" hidden="false" customHeight="false" outlineLevel="0" collapsed="false">
      <c r="A13" s="382" t="s">
        <v>796</v>
      </c>
      <c r="B13" s="392" t="n">
        <f aca="false">(POWER(10,-12)*B6*B12)/B8</f>
        <v>8.4912</v>
      </c>
      <c r="C13" s="386"/>
      <c r="E13" s="379"/>
    </row>
    <row r="14" customFormat="false" ht="12.8" hidden="false" customHeight="false" outlineLevel="0" collapsed="false">
      <c r="A14" s="382" t="s">
        <v>797</v>
      </c>
      <c r="B14" s="392" t="n">
        <f aca="false">(B5*POWER(10,-12)*(B11+B12))/B8</f>
        <v>0.17004</v>
      </c>
      <c r="C14" s="386"/>
      <c r="E14" s="379"/>
    </row>
    <row r="15" customFormat="false" ht="12.8" hidden="false" customHeight="false" outlineLevel="0" collapsed="false">
      <c r="A15" s="382" t="s">
        <v>798</v>
      </c>
      <c r="B15" s="392" t="n">
        <f aca="false">B13+B14</f>
        <v>8.66124</v>
      </c>
      <c r="C15" s="386"/>
      <c r="E15" s="379"/>
    </row>
    <row r="16" customFormat="false" ht="12.8" hidden="false" customHeight="false" outlineLevel="0" collapsed="false">
      <c r="A16" s="382" t="s">
        <v>799</v>
      </c>
      <c r="B16" s="393" t="n">
        <f aca="false">B6*POWER(10,-12)+((B11/B12)*B5*POWER(10,-12))</f>
        <v>7.2047E-009</v>
      </c>
      <c r="C16" s="386"/>
      <c r="E16" s="379"/>
    </row>
    <row r="17" customFormat="false" ht="12.8" hidden="false" customHeight="false" outlineLevel="0" collapsed="false">
      <c r="A17" s="382" t="s">
        <v>800</v>
      </c>
      <c r="B17" s="389" t="n">
        <v>3.3</v>
      </c>
      <c r="C17" s="394"/>
      <c r="E17" s="379"/>
    </row>
    <row r="18" customFormat="false" ht="12.8" hidden="false" customHeight="false" outlineLevel="0" collapsed="false">
      <c r="A18" s="382" t="s">
        <v>801</v>
      </c>
      <c r="B18" s="395" t="n">
        <f aca="false">B17*B16</f>
        <v>2.377551E-008</v>
      </c>
      <c r="C18" s="386"/>
      <c r="E18" s="379"/>
    </row>
    <row r="19" customFormat="false" ht="17" hidden="false" customHeight="true" outlineLevel="0" collapsed="false">
      <c r="A19" s="382" t="s">
        <v>802</v>
      </c>
      <c r="B19" s="395" t="n">
        <f aca="false">B18*3</f>
        <v>7.132653E-008</v>
      </c>
      <c r="C19" s="386"/>
      <c r="E19" s="379"/>
    </row>
    <row r="20" customFormat="false" ht="12.8" hidden="false" customHeight="false" outlineLevel="0" collapsed="false">
      <c r="A20" s="382" t="s">
        <v>803</v>
      </c>
      <c r="B20" s="396" t="n">
        <f aca="false">B12/B17</f>
        <v>3.63636363636364</v>
      </c>
      <c r="C20" s="386"/>
      <c r="E20" s="379"/>
    </row>
    <row r="21" customFormat="false" ht="16" hidden="false" customHeight="true" outlineLevel="0" collapsed="false">
      <c r="A21" s="382" t="s">
        <v>804</v>
      </c>
      <c r="B21" s="392" t="n">
        <f aca="false">0.5*B16*POWER(B12,2)*design!C15/B12</f>
        <v>0.00648423</v>
      </c>
      <c r="C21" s="386"/>
      <c r="E21" s="379"/>
    </row>
    <row r="22" customFormat="false" ht="12.8" hidden="false" customHeight="false" outlineLevel="0" collapsed="false">
      <c r="A22" s="397" t="s">
        <v>805</v>
      </c>
      <c r="B22" s="398" t="n">
        <f aca="false">POWER(B20,2)*B17*(B19/design!C16)</f>
        <v>0.46686456</v>
      </c>
      <c r="C22" s="399"/>
      <c r="E22" s="379"/>
    </row>
    <row r="23" customFormat="false" ht="12.8" hidden="false" customHeight="false" outlineLevel="0" collapsed="false">
      <c r="A23" s="93" t="s">
        <v>806</v>
      </c>
      <c r="B23" s="93"/>
      <c r="C23" s="93"/>
      <c r="E23" s="379"/>
    </row>
    <row r="24" customFormat="false" ht="16" hidden="false" customHeight="true" outlineLevel="0" collapsed="false">
      <c r="A24" s="350" t="s">
        <v>807</v>
      </c>
      <c r="B24" s="393" t="n">
        <f aca="false">(design!C32*B9)/(2*(design!C4+design!C7))</f>
        <v>6.33759147730793E-010</v>
      </c>
      <c r="C24" s="400" t="s">
        <v>808</v>
      </c>
    </row>
    <row r="25" customFormat="false" ht="12.8" hidden="false" customHeight="false" outlineLevel="0" collapsed="false">
      <c r="A25" s="350" t="s">
        <v>809</v>
      </c>
      <c r="B25" s="401" t="n">
        <v>1E-009</v>
      </c>
      <c r="C25" s="400"/>
      <c r="E25" s="379"/>
    </row>
    <row r="26" customFormat="false" ht="16" hidden="false" customHeight="true" outlineLevel="0" collapsed="false">
      <c r="A26" s="350" t="s">
        <v>810</v>
      </c>
      <c r="B26" s="401" t="n">
        <v>1E-006</v>
      </c>
      <c r="C26" s="400"/>
    </row>
    <row r="27" customFormat="false" ht="16" hidden="false" customHeight="true" outlineLevel="0" collapsed="false">
      <c r="A27" s="350" t="s">
        <v>811</v>
      </c>
      <c r="B27" s="396" t="n">
        <f aca="false">1/(2*PI()*(1/B26)*B25)</f>
        <v>159.154943091895</v>
      </c>
      <c r="C27" s="400"/>
    </row>
    <row r="28" customFormat="false" ht="16" hidden="false" customHeight="true" outlineLevel="0" collapsed="false">
      <c r="A28" s="350" t="s">
        <v>812</v>
      </c>
      <c r="B28" s="393" t="n">
        <f aca="false">B26*B27</f>
        <v>0.000159154943091895</v>
      </c>
      <c r="C28" s="400"/>
    </row>
    <row r="29" customFormat="false" ht="16" hidden="false" customHeight="true" outlineLevel="0" collapsed="false">
      <c r="A29" s="350" t="s">
        <v>813</v>
      </c>
      <c r="B29" s="401" t="n">
        <v>0.0001</v>
      </c>
      <c r="C29" s="400"/>
    </row>
    <row r="30" customFormat="false" ht="16" hidden="false" customHeight="true" outlineLevel="0" collapsed="false">
      <c r="A30" s="350" t="s">
        <v>814</v>
      </c>
      <c r="B30" s="396" t="n">
        <f aca="false">design!C6+design!C7</f>
        <v>118.8</v>
      </c>
      <c r="C30" s="400"/>
    </row>
    <row r="31" customFormat="false" ht="16" hidden="false" customHeight="true" outlineLevel="0" collapsed="false">
      <c r="A31" s="350" t="s">
        <v>815</v>
      </c>
      <c r="B31" s="402" t="n">
        <v>150</v>
      </c>
      <c r="C31" s="400"/>
    </row>
    <row r="32" customFormat="false" ht="16" hidden="false" customHeight="true" outlineLevel="0" collapsed="false">
      <c r="A32" s="350" t="s">
        <v>816</v>
      </c>
      <c r="B32" s="393" t="n">
        <f aca="false">0.5*B25*POWER((B31-B34-B36),2)</f>
        <v>9.13952E-006</v>
      </c>
      <c r="C32" s="400" t="s">
        <v>817</v>
      </c>
    </row>
    <row r="33" customFormat="false" ht="16" hidden="false" customHeight="true" outlineLevel="0" collapsed="false">
      <c r="A33" s="350" t="s">
        <v>818</v>
      </c>
      <c r="B33" s="393" t="n">
        <f aca="false">SQRT((2*B32)/B29)</f>
        <v>0.427539939654765</v>
      </c>
      <c r="C33" s="400" t="s">
        <v>819</v>
      </c>
    </row>
    <row r="34" customFormat="false" ht="16" hidden="false" customHeight="true" outlineLevel="0" collapsed="false">
      <c r="A34" s="350" t="s">
        <v>820</v>
      </c>
      <c r="B34" s="402" t="n">
        <v>13.8</v>
      </c>
      <c r="C34" s="400" t="s">
        <v>821</v>
      </c>
    </row>
    <row r="35" customFormat="false" ht="16" hidden="false" customHeight="true" outlineLevel="0" collapsed="false">
      <c r="A35" s="350" t="s">
        <v>822</v>
      </c>
      <c r="B35" s="402" t="n">
        <v>0.7</v>
      </c>
      <c r="C35" s="400" t="s">
        <v>823</v>
      </c>
      <c r="E35" s="379"/>
    </row>
    <row r="36" customFormat="false" ht="16" hidden="false" customHeight="true" outlineLevel="0" collapsed="false">
      <c r="A36" s="350" t="s">
        <v>824</v>
      </c>
      <c r="B36" s="402" t="n">
        <v>1</v>
      </c>
      <c r="C36" s="400"/>
      <c r="E36" s="379"/>
    </row>
    <row r="37" customFormat="false" ht="16" hidden="false" customHeight="true" outlineLevel="0" collapsed="false">
      <c r="A37" s="350" t="s">
        <v>825</v>
      </c>
      <c r="B37" s="393" t="n">
        <f aca="false">(B29*B33)/((B31-(B34+B35))/2)</f>
        <v>6.31055261483048E-007</v>
      </c>
      <c r="C37" s="400" t="s">
        <v>826</v>
      </c>
    </row>
    <row r="38" customFormat="false" ht="16" hidden="false" customHeight="true" outlineLevel="0" collapsed="false">
      <c r="A38" s="350" t="s">
        <v>827</v>
      </c>
      <c r="B38" s="393" t="n">
        <f aca="false">B29*B33/(B34+B35*2)</f>
        <v>2.81276276088661E-006</v>
      </c>
      <c r="C38" s="400" t="s">
        <v>828</v>
      </c>
    </row>
    <row r="39" customFormat="false" ht="16" hidden="false" customHeight="true" outlineLevel="0" collapsed="false">
      <c r="A39" s="350" t="s">
        <v>829</v>
      </c>
      <c r="B39" s="393" t="n">
        <f aca="false">B37+B38</f>
        <v>3.44381802236966E-006</v>
      </c>
      <c r="C39" s="400" t="s">
        <v>830</v>
      </c>
    </row>
    <row r="40" customFormat="false" ht="16" hidden="false" customHeight="true" outlineLevel="0" collapsed="false">
      <c r="A40" s="350" t="s">
        <v>831</v>
      </c>
      <c r="B40" s="393" t="n">
        <f aca="false">design!C16-B39</f>
        <v>3.22284864429701E-006</v>
      </c>
      <c r="C40" s="400" t="s">
        <v>832</v>
      </c>
    </row>
    <row r="41" customFormat="false" ht="16" hidden="false" customHeight="true" outlineLevel="0" collapsed="false">
      <c r="A41" s="350" t="s">
        <v>833</v>
      </c>
      <c r="B41" s="396" t="n">
        <f aca="false">design!C15*B32</f>
        <v>1.370928</v>
      </c>
      <c r="C41" s="400"/>
    </row>
    <row r="42" customFormat="false" ht="16" hidden="false" customHeight="true" outlineLevel="0" collapsed="false">
      <c r="A42" s="350" t="s">
        <v>834</v>
      </c>
      <c r="B42" s="396" t="n">
        <f aca="false">((B33/SQRT(3))*B35)*(B39/design!C16)</f>
        <v>0.0892576724760849</v>
      </c>
      <c r="C42" s="400" t="s">
        <v>835</v>
      </c>
      <c r="E42" s="379"/>
    </row>
    <row r="43" customFormat="false" ht="16" hidden="false" customHeight="true" outlineLevel="0" collapsed="false">
      <c r="A43" s="350" t="s">
        <v>836</v>
      </c>
      <c r="B43" s="396" t="n">
        <f aca="false">((design!C32*B36)*(B9/design!C16))+(((B33/SQRT(3))*B36)*(B38/design!C16))</f>
        <v>0.116693911367122</v>
      </c>
      <c r="C43" s="400" t="s">
        <v>837</v>
      </c>
      <c r="E43" s="379"/>
    </row>
    <row r="44" customFormat="false" ht="16" hidden="false" customHeight="true" outlineLevel="0" collapsed="false">
      <c r="A44" s="403" t="s">
        <v>838</v>
      </c>
      <c r="B44" s="404" t="n">
        <f aca="false">B41-(B42+B43)</f>
        <v>1.16497641615679</v>
      </c>
      <c r="C44" s="405" t="s">
        <v>839</v>
      </c>
    </row>
  </sheetData>
  <mergeCells count="2">
    <mergeCell ref="A1:C1"/>
    <mergeCell ref="A23:C23"/>
  </mergeCells>
  <dataValidations count="1">
    <dataValidation allowBlank="true" operator="equal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6" width="14.45"/>
    <col collapsed="false" customWidth="true" hidden="false" outlineLevel="0" max="2" min="2" style="86" width="50.51"/>
    <col collapsed="false" customWidth="true" hidden="false" outlineLevel="0" max="3" min="3" style="86" width="23.28"/>
    <col collapsed="false" customWidth="true" hidden="false" outlineLevel="0" max="4" min="4" style="86" width="13.33"/>
    <col collapsed="false" customWidth="true" hidden="false" outlineLevel="0" max="5" min="5" style="86" width="13.7"/>
    <col collapsed="false" customWidth="true" hidden="false" outlineLevel="0" max="10" min="6" style="86" width="14.45"/>
    <col collapsed="false" customWidth="true" hidden="false" outlineLevel="0" max="11" min="11" style="86" width="22.27"/>
    <col collapsed="false" customWidth="true" hidden="false" outlineLevel="0" max="64" min="12" style="86" width="14.45"/>
  </cols>
  <sheetData>
    <row r="1" customFormat="false" ht="12.8" hidden="false" customHeight="false" outlineLevel="0" collapsed="false">
      <c r="A1" s="285"/>
      <c r="B1" s="286" t="s">
        <v>709</v>
      </c>
      <c r="C1" s="286" t="s">
        <v>5</v>
      </c>
      <c r="D1" s="287" t="s">
        <v>6</v>
      </c>
      <c r="E1" s="287"/>
      <c r="F1" s="287"/>
      <c r="G1" s="287"/>
      <c r="H1" s="287"/>
    </row>
    <row r="2" customFormat="false" ht="16" hidden="false" customHeight="true" outlineLevel="0" collapsed="false">
      <c r="A2" s="288" t="s">
        <v>710</v>
      </c>
      <c r="B2" s="289" t="s">
        <v>711</v>
      </c>
      <c r="C2" s="290" t="n">
        <v>24</v>
      </c>
      <c r="D2" s="291"/>
      <c r="E2" s="292"/>
      <c r="F2" s="292"/>
      <c r="G2" s="292"/>
      <c r="H2" s="292"/>
    </row>
    <row r="3" customFormat="false" ht="12.8" hidden="false" customHeight="false" outlineLevel="0" collapsed="false">
      <c r="A3" s="288"/>
      <c r="B3" s="293" t="s">
        <v>712</v>
      </c>
      <c r="C3" s="294" t="n">
        <v>10</v>
      </c>
      <c r="D3" s="295"/>
      <c r="E3" s="292"/>
      <c r="F3" s="292"/>
      <c r="G3" s="292"/>
      <c r="H3" s="292"/>
      <c r="L3" s="139"/>
    </row>
    <row r="4" customFormat="false" ht="12.8" hidden="false" customHeight="false" outlineLevel="0" collapsed="false">
      <c r="A4" s="288"/>
      <c r="B4" s="293" t="s">
        <v>713</v>
      </c>
      <c r="C4" s="294" t="n">
        <v>6</v>
      </c>
      <c r="D4" s="295"/>
      <c r="E4" s="292"/>
      <c r="F4" s="292"/>
      <c r="G4" s="292"/>
      <c r="H4" s="292"/>
      <c r="L4" s="139"/>
    </row>
    <row r="5" customFormat="false" ht="12.8" hidden="false" customHeight="false" outlineLevel="0" collapsed="false">
      <c r="A5" s="288"/>
      <c r="B5" s="293" t="s">
        <v>714</v>
      </c>
      <c r="C5" s="296" t="n">
        <v>0</v>
      </c>
      <c r="D5" s="295"/>
      <c r="E5" s="292"/>
      <c r="F5" s="292"/>
      <c r="G5" s="292"/>
      <c r="H5" s="292"/>
      <c r="L5" s="139"/>
    </row>
    <row r="6" customFormat="false" ht="12.8" hidden="false" customHeight="false" outlineLevel="0" collapsed="false">
      <c r="A6" s="288"/>
      <c r="B6" s="293" t="s">
        <v>715</v>
      </c>
      <c r="C6" s="297" t="n">
        <f aca="false">VLOOKUP(C2,wireawg!$A$5:$L$44,8,0)</f>
        <v>0.00205</v>
      </c>
      <c r="D6" s="298"/>
      <c r="E6" s="292"/>
      <c r="F6" s="292"/>
      <c r="G6" s="292"/>
      <c r="H6" s="292"/>
    </row>
    <row r="7" customFormat="false" ht="12.8" hidden="false" customHeight="false" outlineLevel="0" collapsed="false">
      <c r="A7" s="288"/>
      <c r="B7" s="293" t="s">
        <v>716</v>
      </c>
      <c r="C7" s="299" t="n">
        <f aca="false">VLOOKUP(C2,wireawg!$A$5:$L$44,11,0)</f>
        <v>842.2</v>
      </c>
      <c r="D7" s="298"/>
      <c r="E7" s="292"/>
      <c r="F7" s="292"/>
      <c r="G7" s="292"/>
      <c r="H7" s="292"/>
    </row>
    <row r="8" customFormat="false" ht="12.8" hidden="false" customHeight="false" outlineLevel="0" collapsed="false">
      <c r="A8" s="288"/>
      <c r="B8" s="300" t="s">
        <v>717</v>
      </c>
      <c r="C8" s="301" t="n">
        <f aca="false">VLOOKUP(C2,wireawg!$A$5:$L$44,4,0)</f>
        <v>0.577</v>
      </c>
      <c r="D8" s="302"/>
      <c r="E8" s="292"/>
      <c r="F8" s="292"/>
      <c r="G8" s="292"/>
      <c r="H8" s="292"/>
    </row>
    <row r="9" customFormat="false" ht="12.8" hidden="false" customHeight="false" outlineLevel="0" collapsed="false">
      <c r="A9" s="288"/>
      <c r="B9" s="303" t="s">
        <v>718</v>
      </c>
      <c r="C9" s="304" t="s">
        <v>840</v>
      </c>
      <c r="D9" s="305"/>
      <c r="E9" s="292"/>
      <c r="F9" s="292"/>
      <c r="G9" s="292"/>
      <c r="H9" s="292"/>
    </row>
    <row r="10" customFormat="false" ht="12.8" hidden="false" customHeight="false" outlineLevel="0" collapsed="false">
      <c r="A10" s="288"/>
      <c r="B10" s="293" t="s">
        <v>720</v>
      </c>
      <c r="C10" s="306" t="s">
        <v>841</v>
      </c>
      <c r="D10" s="298"/>
      <c r="E10" s="292"/>
      <c r="F10" s="292"/>
      <c r="G10" s="292"/>
      <c r="H10" s="292"/>
    </row>
    <row r="11" customFormat="false" ht="12.8" hidden="false" customHeight="false" outlineLevel="0" collapsed="false">
      <c r="A11" s="288"/>
      <c r="B11" s="293" t="s">
        <v>722</v>
      </c>
      <c r="C11" s="307" t="n">
        <v>2.769</v>
      </c>
      <c r="D11" s="308" t="n">
        <f aca="false">C11+(C5*2)</f>
        <v>2.769</v>
      </c>
      <c r="E11" s="292"/>
      <c r="F11" s="292"/>
      <c r="G11" s="292"/>
      <c r="H11" s="292"/>
    </row>
    <row r="12" customFormat="false" ht="12.8" hidden="false" customHeight="false" outlineLevel="0" collapsed="false">
      <c r="A12" s="288"/>
      <c r="B12" s="293" t="s">
        <v>723</v>
      </c>
      <c r="C12" s="307" t="n">
        <v>1.41</v>
      </c>
      <c r="D12" s="309" t="n">
        <f aca="false">C12-(C5*2)</f>
        <v>1.41</v>
      </c>
      <c r="E12" s="292"/>
      <c r="F12" s="292"/>
      <c r="G12" s="292"/>
      <c r="H12" s="292"/>
    </row>
    <row r="13" customFormat="false" ht="12.8" hidden="false" customHeight="false" outlineLevel="0" collapsed="false">
      <c r="A13" s="288"/>
      <c r="B13" s="293" t="s">
        <v>724</v>
      </c>
      <c r="C13" s="307" t="n">
        <v>1.2</v>
      </c>
      <c r="D13" s="309" t="n">
        <f aca="false">C13+(C5*2)</f>
        <v>1.2</v>
      </c>
      <c r="E13" s="292"/>
      <c r="F13" s="292"/>
      <c r="G13" s="292"/>
      <c r="H13" s="292"/>
    </row>
    <row r="14" customFormat="false" ht="14.9" hidden="false" customHeight="false" outlineLevel="0" collapsed="false">
      <c r="A14" s="288"/>
      <c r="B14" s="293" t="s">
        <v>725</v>
      </c>
      <c r="C14" s="310" t="n">
        <v>75</v>
      </c>
      <c r="D14" s="309"/>
      <c r="E14" s="292"/>
      <c r="F14" s="292"/>
      <c r="G14" s="292"/>
      <c r="H14" s="292"/>
    </row>
    <row r="15" customFormat="false" ht="12.8" hidden="false" customHeight="false" outlineLevel="0" collapsed="false">
      <c r="A15" s="288"/>
      <c r="B15" s="300" t="s">
        <v>726</v>
      </c>
      <c r="C15" s="311" t="n">
        <v>0.08</v>
      </c>
      <c r="D15" s="312"/>
      <c r="E15" s="292"/>
      <c r="F15" s="292"/>
      <c r="G15" s="292"/>
      <c r="H15" s="292"/>
    </row>
    <row r="16" customFormat="false" ht="12.8" hidden="false" customHeight="false" outlineLevel="0" collapsed="false">
      <c r="A16" s="288"/>
      <c r="B16" s="313" t="str">
        <f aca="false">"Design inductance, -"&amp;TEXT(C15,"#%")&amp;", H ="</f>
        <v>Design inductance, -8%, H =</v>
      </c>
      <c r="C16" s="314" t="n">
        <f aca="false">((C14*(1-C15))*POWER(10,-9))*POWER(C3,2)</f>
        <v>6.9E-006</v>
      </c>
      <c r="D16" s="315"/>
      <c r="E16" s="292"/>
      <c r="F16" s="292"/>
      <c r="G16" s="292"/>
      <c r="H16" s="292"/>
    </row>
    <row r="17" customFormat="false" ht="12.8" hidden="false" customHeight="false" outlineLevel="0" collapsed="false">
      <c r="A17" s="288"/>
      <c r="B17" s="293" t="s">
        <v>727</v>
      </c>
      <c r="C17" s="316" t="n">
        <f aca="false">PI()*D12</f>
        <v>4.42964564156161</v>
      </c>
      <c r="D17" s="298"/>
      <c r="E17" s="292"/>
      <c r="F17" s="292"/>
      <c r="G17" s="292"/>
      <c r="H17" s="292"/>
    </row>
    <row r="18" customFormat="false" ht="12.8" hidden="false" customHeight="false" outlineLevel="0" collapsed="false">
      <c r="A18" s="288"/>
      <c r="B18" s="317" t="str">
        <f aca="false">"Turns possible with "&amp;TEXT(C4,"#")&amp;" strands of "&amp;TEXT(C2,"#")&amp;" AWG ="</f>
        <v>Turns possible with 6 strands of 24 AWG =</v>
      </c>
      <c r="C18" s="316" t="n">
        <f aca="false">C17/((C8*C4)/10)</f>
        <v>12.7950480692132</v>
      </c>
      <c r="D18" s="298"/>
      <c r="E18" s="292"/>
      <c r="F18" s="292"/>
      <c r="G18" s="292"/>
      <c r="H18" s="292"/>
    </row>
    <row r="19" customFormat="false" ht="12.8" hidden="false" customHeight="false" outlineLevel="0" collapsed="false">
      <c r="A19" s="288"/>
      <c r="B19" s="293" t="s">
        <v>728</v>
      </c>
      <c r="C19" s="318" t="n">
        <f aca="false">(D11-D12)+2*D13</f>
        <v>3.759</v>
      </c>
      <c r="D19" s="298"/>
      <c r="E19" s="292"/>
      <c r="F19" s="292"/>
      <c r="G19" s="292"/>
      <c r="H19" s="292"/>
    </row>
    <row r="20" customFormat="false" ht="12.8" hidden="false" customHeight="false" outlineLevel="0" collapsed="false">
      <c r="A20" s="288"/>
      <c r="B20" s="293" t="s">
        <v>729</v>
      </c>
      <c r="C20" s="319" t="n">
        <f aca="false">(C4*C8)/10</f>
        <v>0.3462</v>
      </c>
      <c r="D20" s="295"/>
      <c r="E20" s="292"/>
      <c r="F20" s="292"/>
      <c r="G20" s="292"/>
      <c r="H20" s="292"/>
    </row>
    <row r="21" customFormat="false" ht="12.8" hidden="false" customHeight="false" outlineLevel="0" collapsed="false">
      <c r="A21" s="288"/>
      <c r="B21" s="317" t="str">
        <f aca="false">"Estimated wire len per strand using "&amp;TEXT(C2,"#")&amp;" AWG, cm ="</f>
        <v>Estimated wire len per strand using 24 AWG, cm =</v>
      </c>
      <c r="C21" s="318" t="n">
        <f aca="false">C19*C3</f>
        <v>37.59</v>
      </c>
      <c r="D21" s="298"/>
      <c r="E21" s="292"/>
      <c r="F21" s="292"/>
      <c r="G21" s="292"/>
      <c r="H21" s="292"/>
    </row>
    <row r="22" customFormat="false" ht="12.8" hidden="false" customHeight="false" outlineLevel="0" collapsed="false">
      <c r="A22" s="288"/>
      <c r="B22" s="320" t="s">
        <v>730</v>
      </c>
      <c r="C22" s="321" t="n">
        <f aca="false">(E24*C7*POWER(10,-6))/C4</f>
        <v>0.005276383</v>
      </c>
      <c r="D22" s="322"/>
      <c r="E22" s="292"/>
      <c r="F22" s="292"/>
      <c r="G22" s="292"/>
      <c r="H22" s="292"/>
    </row>
    <row r="23" customFormat="false" ht="16" hidden="false" customHeight="true" outlineLevel="0" collapsed="false">
      <c r="A23" s="323" t="s">
        <v>731</v>
      </c>
      <c r="B23" s="324"/>
      <c r="C23" s="325"/>
      <c r="D23" s="326" t="s">
        <v>732</v>
      </c>
      <c r="E23" s="327" t="s">
        <v>733</v>
      </c>
      <c r="F23" s="325"/>
      <c r="G23" s="325"/>
      <c r="H23" s="328"/>
    </row>
    <row r="24" customFormat="false" ht="12.8" hidden="false" customHeight="false" outlineLevel="0" collapsed="false">
      <c r="A24" s="323"/>
      <c r="B24" s="329"/>
      <c r="C24" s="330"/>
      <c r="D24" s="331" t="n">
        <f aca="false">SUM(D25:D41)</f>
        <v>10</v>
      </c>
      <c r="E24" s="331" t="n">
        <f aca="false">SUM(E25:E41)</f>
        <v>37.59</v>
      </c>
      <c r="F24" s="325"/>
      <c r="G24" s="325"/>
      <c r="H24" s="328"/>
    </row>
    <row r="25" customFormat="false" ht="12.8" hidden="false" customHeight="false" outlineLevel="0" collapsed="false">
      <c r="A25" s="323"/>
      <c r="B25" s="332" t="s">
        <v>734</v>
      </c>
      <c r="C25" s="333" t="n">
        <f aca="false">C19</f>
        <v>3.759</v>
      </c>
      <c r="D25" s="331"/>
      <c r="E25" s="334"/>
      <c r="F25" s="325"/>
      <c r="G25" s="325"/>
      <c r="H25" s="328"/>
    </row>
    <row r="26" customFormat="false" ht="12.8" hidden="false" customHeight="false" outlineLevel="0" collapsed="false">
      <c r="A26" s="323"/>
      <c r="B26" s="335" t="s">
        <v>735</v>
      </c>
      <c r="C26" s="333" t="n">
        <f aca="false">D12</f>
        <v>1.41</v>
      </c>
      <c r="D26" s="331"/>
      <c r="E26" s="334"/>
      <c r="F26" s="325"/>
      <c r="G26" s="325"/>
      <c r="H26" s="328"/>
    </row>
    <row r="27" customFormat="false" ht="12.8" hidden="false" customHeight="false" outlineLevel="0" collapsed="false">
      <c r="A27" s="323"/>
      <c r="B27" s="332" t="s">
        <v>736</v>
      </c>
      <c r="C27" s="333" t="n">
        <f aca="false">C26/2</f>
        <v>0.705</v>
      </c>
      <c r="D27" s="331"/>
      <c r="E27" s="334"/>
      <c r="F27" s="325"/>
      <c r="G27" s="325"/>
      <c r="H27" s="328"/>
    </row>
    <row r="28" customFormat="false" ht="12.8" hidden="false" customHeight="false" outlineLevel="0" collapsed="false">
      <c r="A28" s="323"/>
      <c r="B28" s="336" t="s">
        <v>737</v>
      </c>
      <c r="C28" s="333" t="n">
        <f aca="false">PI()*2*C27</f>
        <v>4.42964564156161</v>
      </c>
      <c r="D28" s="331"/>
      <c r="E28" s="334"/>
      <c r="F28" s="325"/>
      <c r="G28" s="325"/>
      <c r="H28" s="328"/>
    </row>
    <row r="29" customFormat="false" ht="12.8" hidden="false" customHeight="false" outlineLevel="0" collapsed="false">
      <c r="A29" s="323"/>
      <c r="B29" s="337" t="s">
        <v>738</v>
      </c>
      <c r="C29" s="338" t="n">
        <f aca="false">ROUNDDOWN(C28/C20,0)</f>
        <v>12</v>
      </c>
      <c r="D29" s="339" t="n">
        <f aca="false">ROUNDDOWN(IF(C29&lt;C3,C29,C3),0)</f>
        <v>10</v>
      </c>
      <c r="E29" s="340" t="n">
        <f aca="false">C25*D29</f>
        <v>37.59</v>
      </c>
      <c r="F29" s="325"/>
      <c r="G29" s="341"/>
      <c r="H29" s="328"/>
    </row>
    <row r="30" customFormat="false" ht="12.8" hidden="false" customHeight="false" outlineLevel="0" collapsed="false">
      <c r="A30" s="323"/>
      <c r="B30" s="335" t="s">
        <v>739</v>
      </c>
      <c r="C30" s="330" t="n">
        <f aca="false">C25+((C8/10)*4)</f>
        <v>3.9898</v>
      </c>
      <c r="D30" s="331"/>
      <c r="E30" s="334"/>
      <c r="F30" s="325"/>
      <c r="G30" s="325"/>
      <c r="H30" s="328"/>
    </row>
    <row r="31" customFormat="false" ht="12.8" hidden="false" customHeight="false" outlineLevel="0" collapsed="false">
      <c r="A31" s="323"/>
      <c r="B31" s="335" t="s">
        <v>740</v>
      </c>
      <c r="C31" s="330" t="n">
        <f aca="false">C27-(C8/10)</f>
        <v>0.6473</v>
      </c>
      <c r="D31" s="331"/>
      <c r="E31" s="334"/>
      <c r="F31" s="325"/>
      <c r="G31" s="325"/>
      <c r="H31" s="328"/>
    </row>
    <row r="32" customFormat="false" ht="12.8" hidden="false" customHeight="false" outlineLevel="0" collapsed="false">
      <c r="A32" s="323"/>
      <c r="B32" s="336" t="s">
        <v>741</v>
      </c>
      <c r="C32" s="330" t="n">
        <f aca="false">2*PI()*C31</f>
        <v>4.06710584933735</v>
      </c>
      <c r="D32" s="331"/>
      <c r="E32" s="334"/>
      <c r="F32" s="325"/>
      <c r="G32" s="325"/>
      <c r="H32" s="328"/>
    </row>
    <row r="33" customFormat="false" ht="12.8" hidden="false" customHeight="false" outlineLevel="0" collapsed="false">
      <c r="A33" s="323"/>
      <c r="B33" s="337" t="s">
        <v>742</v>
      </c>
      <c r="C33" s="338" t="n">
        <f aca="false">ROUNDDOWN(C32/C20,0)</f>
        <v>11</v>
      </c>
      <c r="D33" s="339" t="n">
        <f aca="false">ROUNDDOWN(IF(IF((C29+C33)&lt;C3,C33,C3-C29)&gt;0,IF((C29+C33)&lt;C3,C33,C3-C29),0),0)</f>
        <v>0</v>
      </c>
      <c r="E33" s="340" t="n">
        <f aca="false">C30*D33</f>
        <v>0</v>
      </c>
      <c r="F33" s="325"/>
      <c r="G33" s="341"/>
      <c r="H33" s="328"/>
    </row>
    <row r="34" customFormat="false" ht="12.8" hidden="false" customHeight="false" outlineLevel="0" collapsed="false">
      <c r="A34" s="323"/>
      <c r="B34" s="335" t="s">
        <v>743</v>
      </c>
      <c r="C34" s="330" t="n">
        <f aca="false">C30+((C8/10)*4)</f>
        <v>4.2206</v>
      </c>
      <c r="D34" s="331"/>
      <c r="E34" s="334"/>
      <c r="F34" s="325"/>
      <c r="G34" s="325"/>
      <c r="H34" s="328"/>
    </row>
    <row r="35" customFormat="false" ht="12.8" hidden="false" customHeight="false" outlineLevel="0" collapsed="false">
      <c r="A35" s="323"/>
      <c r="B35" s="335" t="s">
        <v>744</v>
      </c>
      <c r="C35" s="333" t="n">
        <f aca="false">C31-(C8/10)</f>
        <v>0.5896</v>
      </c>
      <c r="D35" s="331"/>
      <c r="E35" s="334"/>
      <c r="F35" s="325"/>
      <c r="G35" s="325"/>
      <c r="H35" s="328"/>
    </row>
    <row r="36" customFormat="false" ht="12.8" hidden="false" customHeight="false" outlineLevel="0" collapsed="false">
      <c r="A36" s="323"/>
      <c r="B36" s="336" t="s">
        <v>745</v>
      </c>
      <c r="C36" s="333" t="n">
        <f aca="false">2*PI()*C35</f>
        <v>3.70456605711308</v>
      </c>
      <c r="D36" s="331"/>
      <c r="E36" s="334"/>
      <c r="F36" s="325"/>
      <c r="G36" s="325"/>
      <c r="H36" s="328"/>
    </row>
    <row r="37" customFormat="false" ht="12.8" hidden="false" customHeight="false" outlineLevel="0" collapsed="false">
      <c r="A37" s="323"/>
      <c r="B37" s="337" t="s">
        <v>746</v>
      </c>
      <c r="C37" s="342" t="n">
        <f aca="false">ROUNDDOWN(C36/C20,0)</f>
        <v>10</v>
      </c>
      <c r="D37" s="339" t="n">
        <f aca="false">ROUNDDOWN(IF(IF((C29+C33+C37)&lt;C3,C37,C3-(C29+C33))&gt;0,IF((C29+C33+C37)&lt;C3,C37,C3-(C29+C33)),0),0)</f>
        <v>0</v>
      </c>
      <c r="E37" s="340" t="n">
        <f aca="false">C34*D37</f>
        <v>0</v>
      </c>
      <c r="F37" s="325"/>
      <c r="G37" s="341"/>
      <c r="H37" s="328"/>
    </row>
    <row r="38" customFormat="false" ht="12.8" hidden="false" customHeight="false" outlineLevel="0" collapsed="false">
      <c r="A38" s="323"/>
      <c r="B38" s="335" t="s">
        <v>747</v>
      </c>
      <c r="C38" s="330" t="n">
        <f aca="false">C34+((C8/10)*4)</f>
        <v>4.4514</v>
      </c>
      <c r="D38" s="331"/>
      <c r="E38" s="334"/>
      <c r="F38" s="325"/>
      <c r="G38" s="325"/>
      <c r="H38" s="328"/>
    </row>
    <row r="39" customFormat="false" ht="12.8" hidden="false" customHeight="false" outlineLevel="0" collapsed="false">
      <c r="A39" s="323"/>
      <c r="B39" s="335" t="s">
        <v>748</v>
      </c>
      <c r="C39" s="333" t="n">
        <f aca="false">C35-(C8/10)</f>
        <v>0.5319</v>
      </c>
      <c r="D39" s="331"/>
      <c r="E39" s="334"/>
      <c r="F39" s="325"/>
      <c r="G39" s="325"/>
      <c r="H39" s="328"/>
    </row>
    <row r="40" customFormat="false" ht="12.8" hidden="false" customHeight="false" outlineLevel="0" collapsed="false">
      <c r="A40" s="323"/>
      <c r="B40" s="336" t="s">
        <v>749</v>
      </c>
      <c r="C40" s="333" t="n">
        <f aca="false">2*PI()*C39</f>
        <v>3.34202626488882</v>
      </c>
      <c r="D40" s="331"/>
      <c r="E40" s="334"/>
      <c r="F40" s="325"/>
      <c r="G40" s="325"/>
      <c r="H40" s="328"/>
    </row>
    <row r="41" customFormat="false" ht="12.8" hidden="false" customHeight="false" outlineLevel="0" collapsed="false">
      <c r="A41" s="323"/>
      <c r="B41" s="337" t="s">
        <v>750</v>
      </c>
      <c r="C41" s="342" t="n">
        <f aca="false">ROUNDDOWN(C40/C20,0)</f>
        <v>9</v>
      </c>
      <c r="D41" s="339" t="n">
        <f aca="false">ROUNDDOWN(IF(IF((C29+C33+C37+C41)&lt;C3,C41,C3-(C29+C33+C37))&gt;0,IF((C29+C33+C37+C41)&lt;C3,C41,C3-(C29+C33+C37)),0),0)</f>
        <v>0</v>
      </c>
      <c r="E41" s="340" t="n">
        <f aca="false">C38*D41</f>
        <v>0</v>
      </c>
      <c r="F41" s="325"/>
      <c r="G41" s="341"/>
      <c r="H41" s="328"/>
    </row>
    <row r="42" customFormat="false" ht="12.8" hidden="false" customHeight="false" outlineLevel="0" collapsed="false">
      <c r="A42" s="343"/>
      <c r="B42" s="344"/>
      <c r="C42" s="345"/>
      <c r="D42" s="344"/>
      <c r="E42" s="344"/>
      <c r="F42" s="344"/>
      <c r="G42" s="344"/>
      <c r="H42" s="346"/>
    </row>
  </sheetData>
  <mergeCells count="4">
    <mergeCell ref="D1:H1"/>
    <mergeCell ref="A2:A22"/>
    <mergeCell ref="E2:H22"/>
    <mergeCell ref="A23:A4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3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4.47265625" defaultRowHeight="12.8" zeroHeight="false" outlineLevelRow="0" outlineLevelCol="0"/>
  <cols>
    <col collapsed="false" customWidth="true" hidden="false" outlineLevel="0" max="1" min="1" style="86" width="58.95"/>
    <col collapsed="false" customWidth="true" hidden="false" outlineLevel="0" max="2" min="2" style="86" width="15.74"/>
    <col collapsed="false" customWidth="true" hidden="false" outlineLevel="0" max="3" min="3" style="378" width="75.67"/>
    <col collapsed="false" customWidth="false" hidden="false" outlineLevel="0" max="61" min="4" style="86" width="14.45"/>
    <col collapsed="false" customWidth="true" hidden="false" outlineLevel="0" max="1021" min="1021" style="86" width="11.52"/>
    <col collapsed="false" customWidth="true" hidden="false" outlineLevel="0" max="1024" min="1022" style="0" width="11.52"/>
  </cols>
  <sheetData>
    <row r="1" customFormat="false" ht="12.8" hidden="false" customHeight="false" outlineLevel="0" collapsed="false">
      <c r="A1" s="93" t="s">
        <v>784</v>
      </c>
      <c r="B1" s="93"/>
      <c r="C1" s="93"/>
    </row>
    <row r="2" customFormat="false" ht="12.8" hidden="false" customHeight="false" outlineLevel="0" collapsed="false">
      <c r="A2" s="103" t="s">
        <v>709</v>
      </c>
      <c r="B2" s="380" t="s">
        <v>5</v>
      </c>
      <c r="C2" s="381" t="s">
        <v>6</v>
      </c>
    </row>
    <row r="3" customFormat="false" ht="12.8" hidden="false" customHeight="false" outlineLevel="0" collapsed="false">
      <c r="A3" s="382" t="s">
        <v>785</v>
      </c>
      <c r="B3" s="88" t="s">
        <v>842</v>
      </c>
      <c r="C3" s="394"/>
    </row>
    <row r="4" customFormat="false" ht="12.8" hidden="false" customHeight="false" outlineLevel="0" collapsed="false">
      <c r="A4" s="382" t="s">
        <v>843</v>
      </c>
      <c r="B4" s="406" t="n">
        <v>100000</v>
      </c>
      <c r="C4" s="394"/>
    </row>
    <row r="5" customFormat="false" ht="12.8" hidden="false" customHeight="false" outlineLevel="0" collapsed="false">
      <c r="A5" s="382" t="s">
        <v>787</v>
      </c>
      <c r="B5" s="387" t="n">
        <v>14</v>
      </c>
      <c r="C5" s="386"/>
    </row>
    <row r="6" customFormat="false" ht="12.8" hidden="false" customHeight="false" outlineLevel="0" collapsed="false">
      <c r="A6" s="382" t="s">
        <v>788</v>
      </c>
      <c r="B6" s="387" t="n">
        <v>2500</v>
      </c>
      <c r="C6" s="386"/>
    </row>
    <row r="7" customFormat="false" ht="12.8" hidden="false" customHeight="false" outlineLevel="0" collapsed="false">
      <c r="A7" s="382" t="s">
        <v>789</v>
      </c>
      <c r="B7" s="387" t="n">
        <v>439</v>
      </c>
      <c r="C7" s="386" t="s">
        <v>844</v>
      </c>
    </row>
    <row r="8" customFormat="false" ht="12.8" hidden="false" customHeight="false" outlineLevel="0" collapsed="false">
      <c r="A8" s="382" t="s">
        <v>790</v>
      </c>
      <c r="B8" s="388" t="n">
        <v>8E-009</v>
      </c>
      <c r="C8" s="386" t="s">
        <v>791</v>
      </c>
    </row>
    <row r="9" customFormat="false" ht="12.8" hidden="false" customHeight="false" outlineLevel="0" collapsed="false">
      <c r="A9" s="350" t="s">
        <v>792</v>
      </c>
      <c r="B9" s="388" t="n">
        <v>5E-009</v>
      </c>
      <c r="C9" s="386" t="s">
        <v>791</v>
      </c>
    </row>
    <row r="10" customFormat="false" ht="12.8" hidden="false" customHeight="false" outlineLevel="0" collapsed="false">
      <c r="A10" s="382" t="s">
        <v>793</v>
      </c>
      <c r="B10" s="389" t="n">
        <v>50</v>
      </c>
      <c r="C10" s="386"/>
    </row>
    <row r="11" customFormat="false" ht="12.8" hidden="false" customHeight="false" outlineLevel="0" collapsed="false">
      <c r="A11" s="382" t="s">
        <v>794</v>
      </c>
      <c r="B11" s="391" t="n">
        <v>28</v>
      </c>
      <c r="C11" s="386"/>
    </row>
    <row r="12" customFormat="false" ht="12.8" hidden="false" customHeight="false" outlineLevel="0" collapsed="false">
      <c r="A12" s="382" t="s">
        <v>795</v>
      </c>
      <c r="B12" s="391" t="n">
        <v>12</v>
      </c>
      <c r="C12" s="386"/>
    </row>
    <row r="13" customFormat="false" ht="12.8" hidden="false" customHeight="false" outlineLevel="0" collapsed="false">
      <c r="A13" s="382" t="s">
        <v>796</v>
      </c>
      <c r="B13" s="392" t="n">
        <f aca="false">(POWER(10,-12)*B6*B12)/B8</f>
        <v>3.75</v>
      </c>
      <c r="C13" s="386"/>
    </row>
    <row r="14" customFormat="false" ht="12.8" hidden="false" customHeight="false" outlineLevel="0" collapsed="false">
      <c r="A14" s="382" t="s">
        <v>797</v>
      </c>
      <c r="B14" s="392" t="n">
        <f aca="false">(B5*POWER(10,-12)*(B11+B12))/B8</f>
        <v>0.07</v>
      </c>
      <c r="C14" s="386"/>
    </row>
    <row r="15" customFormat="false" ht="12.8" hidden="false" customHeight="false" outlineLevel="0" collapsed="false">
      <c r="A15" s="382" t="s">
        <v>798</v>
      </c>
      <c r="B15" s="392" t="n">
        <f aca="false">B13+B14</f>
        <v>3.82</v>
      </c>
      <c r="C15" s="386"/>
    </row>
    <row r="16" customFormat="false" ht="12.8" hidden="false" customHeight="false" outlineLevel="0" collapsed="false">
      <c r="A16" s="382" t="s">
        <v>799</v>
      </c>
      <c r="B16" s="393" t="n">
        <f aca="false">B6*POWER(10,-12)+((B11/B12)*B5*POWER(10,-12))</f>
        <v>2.53266666666667E-009</v>
      </c>
      <c r="C16" s="386"/>
    </row>
    <row r="17" customFormat="false" ht="12.8" hidden="false" customHeight="false" outlineLevel="0" collapsed="false">
      <c r="A17" s="382" t="s">
        <v>800</v>
      </c>
      <c r="B17" s="389" t="n">
        <v>7.5</v>
      </c>
      <c r="C17" s="394"/>
    </row>
    <row r="18" customFormat="false" ht="12.8" hidden="false" customHeight="false" outlineLevel="0" collapsed="false">
      <c r="A18" s="382" t="s">
        <v>801</v>
      </c>
      <c r="B18" s="395" t="n">
        <f aca="false">B17*B16</f>
        <v>1.8995E-008</v>
      </c>
      <c r="C18" s="386"/>
    </row>
    <row r="19" customFormat="false" ht="12.8" hidden="false" customHeight="false" outlineLevel="0" collapsed="false">
      <c r="A19" s="382" t="s">
        <v>802</v>
      </c>
      <c r="B19" s="395" t="n">
        <f aca="false">B18*3</f>
        <v>5.6985E-008</v>
      </c>
      <c r="C19" s="386"/>
    </row>
    <row r="20" customFormat="false" ht="12.8" hidden="false" customHeight="false" outlineLevel="0" collapsed="false">
      <c r="A20" s="382" t="s">
        <v>803</v>
      </c>
      <c r="B20" s="396" t="n">
        <f aca="false">B12/B17</f>
        <v>1.6</v>
      </c>
      <c r="C20" s="386"/>
    </row>
    <row r="21" customFormat="false" ht="12.8" hidden="false" customHeight="false" outlineLevel="0" collapsed="false">
      <c r="A21" s="382" t="s">
        <v>804</v>
      </c>
      <c r="B21" s="392" t="n">
        <f aca="false">(0.5*B16*POWER(B12,2)*B4)/B12</f>
        <v>0.0015196</v>
      </c>
      <c r="C21" s="386"/>
    </row>
    <row r="22" customFormat="false" ht="12.8" hidden="false" customHeight="false" outlineLevel="0" collapsed="false">
      <c r="A22" s="397" t="s">
        <v>805</v>
      </c>
      <c r="B22" s="398" t="n">
        <f aca="false">B16*POWER(B12,2)*B4</f>
        <v>0.0364704</v>
      </c>
      <c r="C22" s="399"/>
    </row>
    <row r="23" customFormat="false" ht="12.8" hidden="false" customHeight="false" outlineLevel="0" collapsed="false">
      <c r="A23" s="407" t="s">
        <v>845</v>
      </c>
      <c r="B23" s="407"/>
      <c r="C23" s="407"/>
    </row>
    <row r="24" customFormat="false" ht="12.8" hidden="false" customHeight="false" outlineLevel="0" collapsed="false">
      <c r="A24" s="350" t="s">
        <v>846</v>
      </c>
      <c r="B24" s="393" t="n">
        <f aca="false">(thermal!B37*B18)/(2*B11)</f>
        <v>2.88316964285714E-009</v>
      </c>
      <c r="C24" s="400" t="s">
        <v>808</v>
      </c>
    </row>
    <row r="25" customFormat="false" ht="12.8" hidden="false" customHeight="false" outlineLevel="0" collapsed="false">
      <c r="A25" s="350" t="s">
        <v>847</v>
      </c>
      <c r="B25" s="408" t="n">
        <f aca="false">0.5*(((1/B4)/2)/B24)</f>
        <v>867.101249554836</v>
      </c>
      <c r="C25" s="400" t="s">
        <v>848</v>
      </c>
    </row>
    <row r="26" customFormat="false" ht="12.8" hidden="false" customHeight="false" outlineLevel="0" collapsed="false">
      <c r="A26" s="350" t="s">
        <v>849</v>
      </c>
      <c r="B26" s="401" t="n">
        <v>2.7E-009</v>
      </c>
      <c r="C26" s="409"/>
    </row>
    <row r="27" customFormat="false" ht="12.8" hidden="false" customHeight="false" outlineLevel="0" collapsed="false">
      <c r="A27" s="350" t="s">
        <v>850</v>
      </c>
      <c r="B27" s="410" t="n">
        <v>820</v>
      </c>
      <c r="C27" s="409"/>
    </row>
    <row r="28" customFormat="false" ht="12.8" hidden="false" customHeight="false" outlineLevel="0" collapsed="false">
      <c r="A28" s="350" t="s">
        <v>851</v>
      </c>
      <c r="B28" s="411" t="n">
        <v>0.8</v>
      </c>
      <c r="C28" s="409"/>
    </row>
    <row r="29" customFormat="false" ht="23.85" hidden="false" customHeight="false" outlineLevel="0" collapsed="false">
      <c r="A29" s="353" t="s">
        <v>852</v>
      </c>
      <c r="B29" s="412" t="n">
        <f aca="false">0.5*B26*POWER(B11,2)*B4</f>
        <v>0.10584</v>
      </c>
      <c r="C29" s="413" t="s">
        <v>853</v>
      </c>
    </row>
    <row r="30" customFormat="false" ht="12.8" hidden="false" customHeight="false" outlineLevel="0" collapsed="false">
      <c r="A30" s="350" t="s">
        <v>854</v>
      </c>
      <c r="B30" s="396" t="n">
        <f aca="false">B11/B27</f>
        <v>0.0341463414634146</v>
      </c>
      <c r="C30" s="413"/>
    </row>
    <row r="31" customFormat="false" ht="12.8" hidden="false" customHeight="false" outlineLevel="0" collapsed="false">
      <c r="A31" s="350" t="s">
        <v>855</v>
      </c>
      <c r="B31" s="396" t="n">
        <f aca="false">(B11*B30)*(B8/(1/B4))</f>
        <v>0.000764878048780488</v>
      </c>
      <c r="C31" s="413"/>
    </row>
    <row r="32" customFormat="false" ht="12.8" hidden="false" customHeight="false" outlineLevel="0" collapsed="false">
      <c r="A32" s="353" t="s">
        <v>856</v>
      </c>
      <c r="B32" s="412" t="n">
        <f aca="false">(B28*thermal!B37)*(B9/(1/B4))</f>
        <v>0.0034</v>
      </c>
      <c r="C32" s="413" t="s">
        <v>857</v>
      </c>
    </row>
    <row r="33" customFormat="false" ht="12.8" hidden="false" customHeight="false" outlineLevel="0" collapsed="false">
      <c r="A33" s="350" t="s">
        <v>858</v>
      </c>
      <c r="B33" s="396" t="n">
        <f aca="false">(thermal!B37)/((1/B4)/B9)</f>
        <v>0.00425</v>
      </c>
      <c r="C33" s="413" t="s">
        <v>857</v>
      </c>
    </row>
    <row r="34" customFormat="false" ht="12.8" hidden="false" customHeight="false" outlineLevel="0" collapsed="false">
      <c r="A34" s="350" t="s">
        <v>859</v>
      </c>
      <c r="B34" s="393" t="n">
        <f aca="false">B26*B27</f>
        <v>2.214E-006</v>
      </c>
      <c r="C34" s="386"/>
    </row>
    <row r="35" customFormat="false" ht="12.8" hidden="false" customHeight="false" outlineLevel="0" collapsed="false">
      <c r="A35" s="353" t="s">
        <v>860</v>
      </c>
      <c r="B35" s="414" t="n">
        <f aca="false">((1/B4)/2)-B34</f>
        <v>2.786E-006</v>
      </c>
      <c r="C35" s="386" t="s">
        <v>861</v>
      </c>
    </row>
    <row r="36" customFormat="false" ht="12.8" hidden="false" customHeight="false" outlineLevel="0" collapsed="false">
      <c r="A36" s="366" t="s">
        <v>862</v>
      </c>
      <c r="B36" s="398" t="n">
        <f aca="false">(B26*B11)/(1/B4)</f>
        <v>0.00756</v>
      </c>
      <c r="C36" s="399" t="s">
        <v>863</v>
      </c>
    </row>
  </sheetData>
  <mergeCells count="2">
    <mergeCell ref="A1:C1"/>
    <mergeCell ref="A23:C23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49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7" activeCellId="0" sqref="A1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6" width="38.86"/>
    <col collapsed="false" customWidth="true" hidden="false" outlineLevel="0" max="2" min="2" style="86" width="15.28"/>
    <col collapsed="false" customWidth="true" hidden="false" outlineLevel="0" max="3" min="3" style="86" width="3.94"/>
    <col collapsed="false" customWidth="true" hidden="false" outlineLevel="0" max="4" min="4" style="86" width="35.82"/>
    <col collapsed="false" customWidth="true" hidden="false" outlineLevel="0" max="5" min="5" style="86" width="11.45"/>
    <col collapsed="false" customWidth="true" hidden="false" outlineLevel="0" max="6" min="6" style="86" width="11.83"/>
    <col collapsed="false" customWidth="true" hidden="false" outlineLevel="0" max="7" min="7" style="379" width="57.08"/>
    <col collapsed="false" customWidth="true" hidden="false" outlineLevel="0" max="8" min="8" style="86" width="7.34"/>
    <col collapsed="false" customWidth="true" hidden="false" outlineLevel="0" max="9" min="9" style="86" width="43.93"/>
    <col collapsed="false" customWidth="true" hidden="false" outlineLevel="0" max="11" min="10" style="86" width="14.45"/>
    <col collapsed="false" customWidth="true" hidden="false" outlineLevel="0" max="12" min="12" style="86" width="54.26"/>
    <col collapsed="false" customWidth="true" hidden="false" outlineLevel="0" max="64" min="13" style="86" width="14.45"/>
  </cols>
  <sheetData>
    <row r="1" customFormat="false" ht="12.8" hidden="false" customHeight="false" outlineLevel="0" collapsed="false">
      <c r="A1" s="91" t="s">
        <v>864</v>
      </c>
      <c r="B1" s="91"/>
      <c r="C1" s="91"/>
      <c r="D1" s="91"/>
      <c r="E1" s="91"/>
      <c r="F1" s="91"/>
      <c r="G1" s="91"/>
    </row>
    <row r="2" customFormat="false" ht="12.8" hidden="false" customHeight="false" outlineLevel="0" collapsed="false">
      <c r="A2" s="415" t="s">
        <v>865</v>
      </c>
      <c r="B2" s="415"/>
      <c r="C2" s="415"/>
      <c r="D2" s="416" t="s">
        <v>866</v>
      </c>
      <c r="E2" s="416"/>
      <c r="F2" s="416"/>
      <c r="G2" s="416"/>
    </row>
    <row r="3" customFormat="false" ht="12.8" hidden="false" customHeight="false" outlineLevel="0" collapsed="false">
      <c r="A3" s="417" t="s">
        <v>867</v>
      </c>
      <c r="B3" s="418" t="str">
        <f aca="false">switch!B4</f>
        <v>IPP220N25NFD</v>
      </c>
      <c r="C3" s="419"/>
      <c r="D3" s="420"/>
      <c r="E3" s="421" t="s">
        <v>868</v>
      </c>
      <c r="F3" s="421" t="s">
        <v>869</v>
      </c>
      <c r="G3" s="422" t="s">
        <v>6</v>
      </c>
    </row>
    <row r="4" customFormat="false" ht="12.8" hidden="false" customHeight="false" outlineLevel="0" collapsed="false">
      <c r="A4" s="417" t="s">
        <v>870</v>
      </c>
      <c r="B4" s="238" t="n">
        <f aca="false">0.022*2</f>
        <v>0.044</v>
      </c>
      <c r="C4" s="419"/>
      <c r="D4" s="419" t="s">
        <v>871</v>
      </c>
      <c r="E4" s="423" t="n">
        <v>0.5</v>
      </c>
      <c r="F4" s="423" t="n">
        <v>0.5</v>
      </c>
      <c r="G4" s="424"/>
    </row>
    <row r="5" customFormat="false" ht="12.8" hidden="false" customHeight="false" outlineLevel="0" collapsed="false">
      <c r="A5" s="417" t="s">
        <v>872</v>
      </c>
      <c r="B5" s="425" t="n">
        <f aca="false">switch!B8</f>
        <v>1E-008</v>
      </c>
      <c r="C5" s="419"/>
      <c r="D5" s="419"/>
      <c r="E5" s="423"/>
      <c r="F5" s="423"/>
      <c r="G5" s="424"/>
    </row>
    <row r="6" customFormat="false" ht="23.85" hidden="false" customHeight="false" outlineLevel="0" collapsed="false">
      <c r="A6" s="417" t="s">
        <v>873</v>
      </c>
      <c r="B6" s="425" t="n">
        <f aca="false">switch!B9</f>
        <v>8E-009</v>
      </c>
      <c r="C6" s="419"/>
      <c r="D6" s="419" t="s">
        <v>874</v>
      </c>
      <c r="E6" s="423" t="n">
        <v>15.47</v>
      </c>
      <c r="F6" s="423" t="n">
        <f aca="false">5.25</f>
        <v>5.25</v>
      </c>
      <c r="G6" s="424" t="s">
        <v>875</v>
      </c>
    </row>
    <row r="7" customFormat="false" ht="12.8" hidden="false" customHeight="false" outlineLevel="0" collapsed="false">
      <c r="A7" s="417" t="s">
        <v>876</v>
      </c>
      <c r="B7" s="426" t="n">
        <f aca="false">switch!B31</f>
        <v>150</v>
      </c>
      <c r="C7" s="419"/>
      <c r="D7" s="419" t="s">
        <v>877</v>
      </c>
      <c r="E7" s="258" t="n">
        <f aca="false">SUM(E4:E6)</f>
        <v>15.97</v>
      </c>
      <c r="F7" s="258" t="n">
        <f aca="false">SUM(F4:F6)</f>
        <v>5.75</v>
      </c>
      <c r="G7" s="424"/>
    </row>
    <row r="8" customFormat="false" ht="18.65" hidden="false" customHeight="false" outlineLevel="0" collapsed="false">
      <c r="A8" s="417" t="s">
        <v>878</v>
      </c>
      <c r="B8" s="426" t="n">
        <f aca="false">design!C35</f>
        <v>9.73336021122022</v>
      </c>
      <c r="C8" s="419"/>
      <c r="D8" s="419" t="s">
        <v>879</v>
      </c>
      <c r="E8" s="258" t="n">
        <f aca="false">E7*B16</f>
        <v>94.586961924263</v>
      </c>
      <c r="F8" s="258" t="n">
        <f aca="false">F7*B16</f>
        <v>34.0560445250164</v>
      </c>
      <c r="G8" s="424"/>
    </row>
    <row r="9" customFormat="false" ht="18.65" hidden="false" customHeight="false" outlineLevel="0" collapsed="false">
      <c r="A9" s="417" t="s">
        <v>28</v>
      </c>
      <c r="B9" s="427" t="n">
        <f aca="false">design!C15</f>
        <v>150000</v>
      </c>
      <c r="C9" s="419"/>
      <c r="D9" s="419" t="s">
        <v>880</v>
      </c>
      <c r="E9" s="258" t="n">
        <v>50</v>
      </c>
      <c r="F9" s="258" t="n">
        <v>50</v>
      </c>
      <c r="G9" s="424"/>
    </row>
    <row r="10" customFormat="false" ht="18.65" hidden="false" customHeight="false" outlineLevel="0" collapsed="false">
      <c r="A10" s="417" t="s">
        <v>881</v>
      </c>
      <c r="B10" s="268" t="n">
        <f aca="false">design!C16</f>
        <v>6.66666666666667E-006</v>
      </c>
      <c r="C10" s="419"/>
      <c r="D10" s="428" t="s">
        <v>882</v>
      </c>
      <c r="E10" s="429" t="n">
        <f aca="false">E8+E9</f>
        <v>144.586961924263</v>
      </c>
      <c r="F10" s="429" t="n">
        <f aca="false">F8+F9</f>
        <v>84.0560445250164</v>
      </c>
      <c r="G10" s="424"/>
    </row>
    <row r="11" customFormat="false" ht="12.8" hidden="false" customHeight="false" outlineLevel="0" collapsed="false">
      <c r="A11" s="417" t="s">
        <v>883</v>
      </c>
      <c r="B11" s="430" t="n">
        <f aca="false">design!C22</f>
        <v>0.475179675747953</v>
      </c>
      <c r="C11" s="419"/>
      <c r="D11" s="419"/>
      <c r="E11" s="419"/>
      <c r="F11" s="419"/>
      <c r="G11" s="431"/>
    </row>
    <row r="12" customFormat="false" ht="12.8" hidden="false" customHeight="false" outlineLevel="0" collapsed="false">
      <c r="A12" s="417" t="s">
        <v>884</v>
      </c>
      <c r="B12" s="269" t="n">
        <f aca="false">((B7*B8)*(B5/B10))</f>
        <v>2.19000604752455</v>
      </c>
      <c r="C12" s="419"/>
      <c r="D12" s="432"/>
      <c r="E12" s="432"/>
      <c r="F12" s="432"/>
      <c r="G12" s="433"/>
    </row>
    <row r="13" customFormat="false" ht="12.8" hidden="false" customHeight="true" outlineLevel="0" collapsed="false">
      <c r="A13" s="417" t="s">
        <v>885</v>
      </c>
      <c r="B13" s="269" t="n">
        <f aca="false">((B7*B8)*(B6/B10))</f>
        <v>1.75200483801964</v>
      </c>
      <c r="C13" s="419"/>
      <c r="D13" s="434" t="s">
        <v>886</v>
      </c>
      <c r="E13" s="434"/>
      <c r="F13" s="434"/>
      <c r="G13" s="434"/>
    </row>
    <row r="14" customFormat="false" ht="12.8" hidden="false" customHeight="false" outlineLevel="0" collapsed="false">
      <c r="A14" s="417" t="s">
        <v>887</v>
      </c>
      <c r="B14" s="269" t="n">
        <f aca="false">(POWER(B8,2)*B4)*B11</f>
        <v>1.98077946663258</v>
      </c>
      <c r="C14" s="419"/>
      <c r="D14" s="432"/>
      <c r="E14" s="432"/>
      <c r="F14" s="432"/>
      <c r="G14" s="433"/>
    </row>
    <row r="15" customFormat="false" ht="12.8" hidden="false" customHeight="false" outlineLevel="0" collapsed="false">
      <c r="A15" s="417"/>
      <c r="B15" s="269"/>
      <c r="C15" s="419"/>
      <c r="D15" s="432"/>
      <c r="E15" s="432"/>
      <c r="F15" s="432"/>
      <c r="G15" s="433"/>
    </row>
    <row r="16" customFormat="false" ht="12.8" hidden="false" customHeight="false" outlineLevel="0" collapsed="false">
      <c r="A16" s="435" t="s">
        <v>888</v>
      </c>
      <c r="B16" s="436" t="n">
        <f aca="false">SUM(B12:B15)</f>
        <v>5.92279035217677</v>
      </c>
      <c r="C16" s="437"/>
      <c r="D16" s="438"/>
      <c r="E16" s="438"/>
      <c r="F16" s="438"/>
      <c r="G16" s="439"/>
    </row>
    <row r="18" customFormat="false" ht="15" hidden="false" customHeight="false" outlineLevel="0" collapsed="false">
      <c r="A18" s="440" t="s">
        <v>889</v>
      </c>
      <c r="B18" s="440"/>
      <c r="C18" s="440"/>
      <c r="D18" s="440"/>
      <c r="E18" s="440"/>
      <c r="F18" s="440"/>
      <c r="G18" s="440"/>
    </row>
    <row r="19" customFormat="false" ht="15" hidden="false" customHeight="false" outlineLevel="0" collapsed="false">
      <c r="A19" s="441" t="s">
        <v>865</v>
      </c>
      <c r="B19" s="441"/>
      <c r="C19" s="441"/>
      <c r="D19" s="442" t="s">
        <v>866</v>
      </c>
      <c r="E19" s="442"/>
      <c r="F19" s="442"/>
      <c r="G19" s="443"/>
    </row>
    <row r="20" customFormat="false" ht="15" hidden="false" customHeight="false" outlineLevel="0" collapsed="false">
      <c r="A20" s="417" t="s">
        <v>889</v>
      </c>
      <c r="B20" s="444" t="s">
        <v>890</v>
      </c>
      <c r="C20" s="193"/>
      <c r="D20" s="445"/>
      <c r="E20" s="446" t="s">
        <v>868</v>
      </c>
      <c r="F20" s="446" t="s">
        <v>869</v>
      </c>
      <c r="G20" s="447" t="s">
        <v>6</v>
      </c>
    </row>
    <row r="21" customFormat="false" ht="12.8" hidden="false" customHeight="false" outlineLevel="0" collapsed="false">
      <c r="A21" s="417" t="s">
        <v>891</v>
      </c>
      <c r="B21" s="448" t="n">
        <f aca="false">design!C17</f>
        <v>0.86</v>
      </c>
      <c r="C21" s="193"/>
      <c r="D21" s="449" t="s">
        <v>871</v>
      </c>
      <c r="E21" s="423" t="n">
        <v>2</v>
      </c>
      <c r="F21" s="423" t="n">
        <v>2</v>
      </c>
      <c r="G21" s="424"/>
    </row>
    <row r="22" customFormat="false" ht="12.8" hidden="false" customHeight="false" outlineLevel="0" collapsed="false">
      <c r="A22" s="417" t="s">
        <v>892</v>
      </c>
      <c r="B22" s="450" t="n">
        <v>0</v>
      </c>
      <c r="C22" s="193"/>
      <c r="D22" s="449"/>
      <c r="E22" s="423"/>
      <c r="F22" s="423"/>
      <c r="G22" s="424"/>
    </row>
    <row r="23" customFormat="false" ht="23.85" hidden="false" customHeight="false" outlineLevel="0" collapsed="false">
      <c r="A23" s="451" t="s">
        <v>893</v>
      </c>
      <c r="B23" s="452" t="n">
        <f aca="false">design!C35</f>
        <v>9.73336021122022</v>
      </c>
      <c r="C23" s="193"/>
      <c r="D23" s="449" t="s">
        <v>874</v>
      </c>
      <c r="E23" s="423" t="n">
        <f aca="false">15.467</f>
        <v>15.467</v>
      </c>
      <c r="F23" s="423" t="n">
        <f aca="false">5.25</f>
        <v>5.25</v>
      </c>
      <c r="G23" s="424" t="s">
        <v>875</v>
      </c>
    </row>
    <row r="24" customFormat="false" ht="12.8" hidden="false" customHeight="false" outlineLevel="0" collapsed="false">
      <c r="A24" s="417" t="s">
        <v>894</v>
      </c>
      <c r="B24" s="453" t="n">
        <f aca="false">design!C5+design!C7</f>
        <v>136</v>
      </c>
      <c r="C24" s="193"/>
      <c r="D24" s="449" t="s">
        <v>877</v>
      </c>
      <c r="E24" s="258" t="n">
        <f aca="false">SUM(E21:E23)</f>
        <v>17.467</v>
      </c>
      <c r="F24" s="258" t="n">
        <f aca="false">SUM(F21:F23)</f>
        <v>7.25</v>
      </c>
      <c r="G24" s="424"/>
    </row>
    <row r="25" customFormat="false" ht="18.65" hidden="false" customHeight="false" outlineLevel="0" collapsed="false">
      <c r="A25" s="417"/>
      <c r="B25" s="454"/>
      <c r="C25" s="193"/>
      <c r="D25" s="449" t="s">
        <v>879</v>
      </c>
      <c r="E25" s="258" t="n">
        <f aca="false">E24*B27</f>
        <v>76.7344196266855</v>
      </c>
      <c r="F25" s="258" t="n">
        <f aca="false">F24*B27</f>
        <v>31.8500339092844</v>
      </c>
      <c r="G25" s="424"/>
    </row>
    <row r="26" customFormat="false" ht="18.65" hidden="false" customHeight="false" outlineLevel="0" collapsed="false">
      <c r="A26" s="417"/>
      <c r="B26" s="455"/>
      <c r="C26" s="193"/>
      <c r="D26" s="449" t="s">
        <v>880</v>
      </c>
      <c r="E26" s="258" t="n">
        <v>50</v>
      </c>
      <c r="F26" s="258" t="n">
        <v>50</v>
      </c>
      <c r="G26" s="424"/>
    </row>
    <row r="27" customFormat="false" ht="18.65" hidden="false" customHeight="false" outlineLevel="0" collapsed="false">
      <c r="A27" s="456" t="s">
        <v>895</v>
      </c>
      <c r="B27" s="457" t="n">
        <f aca="false">(B21*B23)*(1-design!C22)</f>
        <v>4.39310812541853</v>
      </c>
      <c r="C27" s="193"/>
      <c r="D27" s="458" t="s">
        <v>882</v>
      </c>
      <c r="E27" s="459" t="n">
        <f aca="false">E25+E26</f>
        <v>126.734419626685</v>
      </c>
      <c r="F27" s="459" t="n">
        <f aca="false">F25+F26</f>
        <v>81.8500339092843</v>
      </c>
      <c r="G27" s="460"/>
    </row>
    <row r="28" customFormat="false" ht="12.8" hidden="false" customHeight="false" outlineLevel="0" collapsed="false">
      <c r="A28" s="461"/>
      <c r="B28" s="437"/>
      <c r="C28" s="462"/>
      <c r="D28" s="463"/>
      <c r="E28" s="463"/>
      <c r="F28" s="463"/>
      <c r="G28" s="464"/>
    </row>
    <row r="29" customFormat="false" ht="12.8" hidden="false" customHeight="false" outlineLevel="0" collapsed="false">
      <c r="B29" s="465"/>
    </row>
    <row r="30" customFormat="false" ht="12.8" hidden="false" customHeight="false" outlineLevel="0" collapsed="false">
      <c r="A30" s="91" t="s">
        <v>896</v>
      </c>
      <c r="B30" s="91"/>
      <c r="C30" s="91"/>
      <c r="D30" s="91"/>
      <c r="E30" s="91"/>
      <c r="F30" s="91"/>
      <c r="G30" s="91"/>
    </row>
    <row r="31" customFormat="false" ht="12.8" hidden="false" customHeight="false" outlineLevel="0" collapsed="false">
      <c r="A31" s="415" t="s">
        <v>865</v>
      </c>
      <c r="B31" s="415"/>
      <c r="C31" s="415"/>
      <c r="D31" s="416" t="s">
        <v>866</v>
      </c>
      <c r="E31" s="416"/>
      <c r="F31" s="416"/>
      <c r="G31" s="416"/>
    </row>
    <row r="32" customFormat="false" ht="12.8" hidden="false" customHeight="false" outlineLevel="0" collapsed="false">
      <c r="A32" s="417" t="s">
        <v>867</v>
      </c>
      <c r="B32" s="418" t="str">
        <f aca="false">fb_switch!B3</f>
        <v>IPD122N10N3G</v>
      </c>
      <c r="C32" s="419"/>
      <c r="D32" s="420"/>
      <c r="E32" s="421" t="s">
        <v>868</v>
      </c>
      <c r="F32" s="421" t="s">
        <v>869</v>
      </c>
      <c r="G32" s="422" t="s">
        <v>6</v>
      </c>
    </row>
    <row r="33" customFormat="false" ht="12.8" hidden="false" customHeight="false" outlineLevel="0" collapsed="false">
      <c r="A33" s="417" t="s">
        <v>870</v>
      </c>
      <c r="B33" s="238" t="n">
        <f aca="false">0.0122*2</f>
        <v>0.0244</v>
      </c>
      <c r="C33" s="419"/>
      <c r="D33" s="419" t="s">
        <v>871</v>
      </c>
      <c r="E33" s="423" t="n">
        <v>0.5</v>
      </c>
      <c r="F33" s="423" t="n">
        <v>0.5</v>
      </c>
      <c r="G33" s="424"/>
    </row>
    <row r="34" customFormat="false" ht="12.8" hidden="false" customHeight="false" outlineLevel="0" collapsed="false">
      <c r="A34" s="417" t="s">
        <v>872</v>
      </c>
      <c r="B34" s="425" t="n">
        <f aca="false">fb_switch!B8</f>
        <v>8E-009</v>
      </c>
      <c r="C34" s="419"/>
      <c r="D34" s="419"/>
      <c r="E34" s="423"/>
      <c r="F34" s="423"/>
      <c r="G34" s="424"/>
    </row>
    <row r="35" customFormat="false" ht="23.85" hidden="false" customHeight="false" outlineLevel="0" collapsed="false">
      <c r="A35" s="417" t="s">
        <v>873</v>
      </c>
      <c r="B35" s="425" t="n">
        <f aca="false">fb_switch!B9</f>
        <v>5E-009</v>
      </c>
      <c r="C35" s="419"/>
      <c r="D35" s="419" t="s">
        <v>874</v>
      </c>
      <c r="E35" s="423" t="n">
        <v>15.47</v>
      </c>
      <c r="F35" s="423" t="n">
        <v>15.47</v>
      </c>
      <c r="G35" s="424" t="s">
        <v>875</v>
      </c>
    </row>
    <row r="36" customFormat="false" ht="12.8" hidden="false" customHeight="false" outlineLevel="0" collapsed="false">
      <c r="A36" s="417" t="s">
        <v>897</v>
      </c>
      <c r="B36" s="426" t="n">
        <f aca="false">fb_switch!B11</f>
        <v>28</v>
      </c>
      <c r="C36" s="419"/>
      <c r="D36" s="419" t="s">
        <v>877</v>
      </c>
      <c r="E36" s="258" t="n">
        <f aca="false">SUM(E33:E35)</f>
        <v>15.97</v>
      </c>
      <c r="F36" s="258" t="n">
        <f aca="false">SUM(F33:F35)</f>
        <v>15.97</v>
      </c>
      <c r="G36" s="424"/>
    </row>
    <row r="37" customFormat="false" ht="18.65" hidden="false" customHeight="false" outlineLevel="0" collapsed="false">
      <c r="A37" s="417" t="s">
        <v>878</v>
      </c>
      <c r="B37" s="238" t="n">
        <v>8.5</v>
      </c>
      <c r="C37" s="419"/>
      <c r="D37" s="419" t="s">
        <v>879</v>
      </c>
      <c r="E37" s="258" t="n">
        <f aca="false">E36*B45</f>
        <v>19.0178745</v>
      </c>
      <c r="F37" s="258" t="n">
        <f aca="false">F36*B45</f>
        <v>19.0178745</v>
      </c>
      <c r="G37" s="424"/>
    </row>
    <row r="38" customFormat="false" ht="18.65" hidden="false" customHeight="false" outlineLevel="0" collapsed="false">
      <c r="A38" s="417" t="s">
        <v>28</v>
      </c>
      <c r="B38" s="427" t="n">
        <f aca="false">fb_switch!B4</f>
        <v>100000</v>
      </c>
      <c r="C38" s="419"/>
      <c r="D38" s="419" t="s">
        <v>880</v>
      </c>
      <c r="E38" s="258" t="n">
        <v>50</v>
      </c>
      <c r="F38" s="258" t="n">
        <v>50</v>
      </c>
      <c r="G38" s="424"/>
    </row>
    <row r="39" customFormat="false" ht="18.65" hidden="false" customHeight="false" outlineLevel="0" collapsed="false">
      <c r="A39" s="417" t="s">
        <v>881</v>
      </c>
      <c r="B39" s="268" t="n">
        <f aca="false">1/B38</f>
        <v>1E-005</v>
      </c>
      <c r="C39" s="419"/>
      <c r="D39" s="428" t="s">
        <v>882</v>
      </c>
      <c r="E39" s="429" t="n">
        <f aca="false">E37+E38</f>
        <v>69.0178745</v>
      </c>
      <c r="F39" s="429" t="n">
        <f aca="false">F37+F38</f>
        <v>69.0178745</v>
      </c>
      <c r="G39" s="424"/>
    </row>
    <row r="40" customFormat="false" ht="12.8" hidden="false" customHeight="false" outlineLevel="0" collapsed="false">
      <c r="A40" s="417" t="s">
        <v>883</v>
      </c>
      <c r="B40" s="466" t="n">
        <v>0.5</v>
      </c>
      <c r="C40" s="419"/>
      <c r="D40" s="419"/>
      <c r="E40" s="419"/>
      <c r="F40" s="419"/>
      <c r="G40" s="431"/>
    </row>
    <row r="41" customFormat="false" ht="12.8" hidden="false" customHeight="false" outlineLevel="0" collapsed="false">
      <c r="A41" s="417" t="s">
        <v>884</v>
      </c>
      <c r="B41" s="269" t="n">
        <f aca="false">((B36*B37)*(B34/B39))</f>
        <v>0.1904</v>
      </c>
      <c r="C41" s="419"/>
      <c r="D41" s="432"/>
      <c r="E41" s="432"/>
      <c r="F41" s="432"/>
      <c r="G41" s="433"/>
    </row>
    <row r="42" customFormat="false" ht="12.8" hidden="false" customHeight="false" outlineLevel="0" collapsed="false">
      <c r="A42" s="417" t="s">
        <v>885</v>
      </c>
      <c r="B42" s="269" t="n">
        <f aca="false">((B36*B37)*(B35/B39))</f>
        <v>0.119</v>
      </c>
      <c r="C42" s="419"/>
      <c r="D42" s="434"/>
      <c r="E42" s="434"/>
      <c r="F42" s="434"/>
      <c r="G42" s="434"/>
    </row>
    <row r="43" customFormat="false" ht="12.8" hidden="false" customHeight="false" outlineLevel="0" collapsed="false">
      <c r="A43" s="417" t="s">
        <v>887</v>
      </c>
      <c r="B43" s="269" t="n">
        <f aca="false">(POWER(B37,2)*B33)*B40</f>
        <v>0.88145</v>
      </c>
      <c r="C43" s="419"/>
      <c r="D43" s="432"/>
      <c r="E43" s="432"/>
      <c r="F43" s="432"/>
      <c r="G43" s="433"/>
    </row>
    <row r="44" customFormat="false" ht="12.8" hidden="false" customHeight="false" outlineLevel="0" collapsed="false">
      <c r="A44" s="417"/>
      <c r="B44" s="269"/>
      <c r="C44" s="419"/>
      <c r="D44" s="432"/>
      <c r="E44" s="432"/>
      <c r="F44" s="432"/>
      <c r="G44" s="433"/>
    </row>
    <row r="45" customFormat="false" ht="12.8" hidden="false" customHeight="false" outlineLevel="0" collapsed="false">
      <c r="A45" s="435" t="s">
        <v>888</v>
      </c>
      <c r="B45" s="436" t="n">
        <f aca="false">SUM(B41:B44)</f>
        <v>1.19085</v>
      </c>
      <c r="C45" s="437"/>
      <c r="D45" s="438"/>
      <c r="E45" s="438"/>
      <c r="F45" s="438"/>
      <c r="G45" s="439"/>
    </row>
    <row r="46" customFormat="false" ht="12.8" hidden="false" customHeight="false" outlineLevel="0" collapsed="false">
      <c r="B46" s="465"/>
    </row>
    <row r="47" customFormat="false" ht="12.8" hidden="false" customHeight="false" outlineLevel="0" collapsed="false">
      <c r="B47" s="465"/>
    </row>
    <row r="48" customFormat="false" ht="12.8" hidden="false" customHeight="false" outlineLevel="0" collapsed="false">
      <c r="B48" s="465"/>
    </row>
    <row r="49" customFormat="false" ht="12.8" hidden="false" customHeight="false" outlineLevel="0" collapsed="false">
      <c r="B49" s="465"/>
    </row>
  </sheetData>
  <mergeCells count="11">
    <mergeCell ref="A1:G1"/>
    <mergeCell ref="A2:C2"/>
    <mergeCell ref="D2:G2"/>
    <mergeCell ref="D13:G13"/>
    <mergeCell ref="A18:G18"/>
    <mergeCell ref="A19:C19"/>
    <mergeCell ref="D19:F19"/>
    <mergeCell ref="A30:G30"/>
    <mergeCell ref="A31:C31"/>
    <mergeCell ref="D31:G31"/>
    <mergeCell ref="D42:G42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467" t="s">
        <v>898</v>
      </c>
      <c r="B1" s="72" t="n">
        <v>9</v>
      </c>
      <c r="C1" s="468" t="s">
        <v>239</v>
      </c>
      <c r="D1" s="468" t="s">
        <v>899</v>
      </c>
      <c r="E1" s="468" t="s">
        <v>900</v>
      </c>
      <c r="F1" s="468" t="s">
        <v>901</v>
      </c>
      <c r="G1" s="469" t="n">
        <v>0.1</v>
      </c>
      <c r="H1" s="469" t="n">
        <f aca="false">G1+0.1</f>
        <v>0.2</v>
      </c>
      <c r="I1" s="469" t="n">
        <f aca="false">H1+0.1</f>
        <v>0.3</v>
      </c>
      <c r="J1" s="469" t="n">
        <f aca="false">I1+0.1</f>
        <v>0.4</v>
      </c>
      <c r="K1" s="469" t="n">
        <f aca="false">J1+0.1</f>
        <v>0.5</v>
      </c>
      <c r="L1" s="469" t="n">
        <f aca="false">K1+0.1</f>
        <v>0.6</v>
      </c>
      <c r="M1" s="469" t="n">
        <f aca="false">L1+0.1</f>
        <v>0.7</v>
      </c>
      <c r="N1" s="469" t="n">
        <f aca="false">M1+0.1</f>
        <v>0.8</v>
      </c>
      <c r="O1" s="469" t="n">
        <f aca="false">N1+0.1</f>
        <v>0.9</v>
      </c>
      <c r="P1" s="469" t="n">
        <f aca="false">O1+0.1</f>
        <v>1</v>
      </c>
    </row>
    <row r="2" customFormat="false" ht="12.8" hidden="false" customHeight="false" outlineLevel="0" collapsed="false">
      <c r="A2" s="374" t="s">
        <v>902</v>
      </c>
      <c r="B2" s="75" t="n">
        <v>0.93</v>
      </c>
      <c r="C2" s="0" t="n">
        <v>10</v>
      </c>
      <c r="D2" s="0" t="n">
        <f aca="false">C2*$B$1</f>
        <v>90</v>
      </c>
      <c r="E2" s="0" t="n">
        <f aca="false">D2*$B$2</f>
        <v>83.7</v>
      </c>
      <c r="F2" s="25" t="n">
        <f aca="false">E2/$B$3</f>
        <v>1.49464285714286</v>
      </c>
      <c r="G2" s="470" t="n">
        <f aca="false">$F$2*G1</f>
        <v>0.149464285714286</v>
      </c>
      <c r="H2" s="471" t="n">
        <f aca="false">$F$2*H1</f>
        <v>0.298928571428571</v>
      </c>
      <c r="I2" s="471" t="n">
        <f aca="false">$F$2*I1</f>
        <v>0.448392857142857</v>
      </c>
      <c r="J2" s="471" t="n">
        <f aca="false">$F$2*J1</f>
        <v>0.597857142857143</v>
      </c>
      <c r="K2" s="471" t="n">
        <f aca="false">$F$2*K1</f>
        <v>0.747321428571429</v>
      </c>
      <c r="L2" s="471" t="n">
        <f aca="false">$F$2*L1</f>
        <v>0.896785714285714</v>
      </c>
      <c r="M2" s="471" t="n">
        <f aca="false">$F$2*M1</f>
        <v>1.04625</v>
      </c>
      <c r="N2" s="471" t="n">
        <f aca="false">$F$2*N1</f>
        <v>1.19571428571429</v>
      </c>
      <c r="O2" s="471" t="n">
        <f aca="false">$F$2*O1</f>
        <v>1.34517857142857</v>
      </c>
      <c r="P2" s="471" t="n">
        <f aca="false">$F$2*P1</f>
        <v>1.49464285714286</v>
      </c>
      <c r="Q2" s="472" t="s">
        <v>903</v>
      </c>
    </row>
    <row r="3" customFormat="false" ht="12.8" hidden="false" customHeight="false" outlineLevel="0" collapsed="false">
      <c r="A3" s="376" t="s">
        <v>373</v>
      </c>
      <c r="B3" s="85" t="n">
        <v>56</v>
      </c>
      <c r="C3" s="0" t="n">
        <v>30</v>
      </c>
      <c r="D3" s="0" t="n">
        <f aca="false">C3*$B$1</f>
        <v>270</v>
      </c>
      <c r="E3" s="0" t="n">
        <f aca="false">D3*$B$2</f>
        <v>251.1</v>
      </c>
      <c r="F3" s="25" t="n">
        <f aca="false">E3/$B$3</f>
        <v>4.48392857142857</v>
      </c>
      <c r="G3" s="473" t="n">
        <f aca="false">$F$3*G1</f>
        <v>0.448392857142857</v>
      </c>
      <c r="H3" s="25" t="n">
        <f aca="false">$F$3*H1</f>
        <v>0.896785714285714</v>
      </c>
      <c r="I3" s="25" t="n">
        <f aca="false">$F$3*I1</f>
        <v>1.34517857142857</v>
      </c>
      <c r="J3" s="25" t="n">
        <f aca="false">$F$3*J1</f>
        <v>1.79357142857143</v>
      </c>
      <c r="K3" s="25" t="n">
        <f aca="false">$F$3*K1</f>
        <v>2.24196428571429</v>
      </c>
      <c r="L3" s="25" t="n">
        <f aca="false">$F$3*L1</f>
        <v>2.69035714285714</v>
      </c>
      <c r="M3" s="25" t="n">
        <f aca="false">$F$3*M1</f>
        <v>3.13875</v>
      </c>
      <c r="N3" s="25" t="n">
        <f aca="false">$F$3*N1</f>
        <v>3.58714285714286</v>
      </c>
      <c r="O3" s="25" t="n">
        <f aca="false">$F$3*O1</f>
        <v>4.03553571428571</v>
      </c>
      <c r="P3" s="25" t="n">
        <f aca="false">$F$3*P1</f>
        <v>4.48392857142857</v>
      </c>
      <c r="Q3" s="472"/>
    </row>
    <row r="4" customFormat="false" ht="12.8" hidden="false" customHeight="false" outlineLevel="0" collapsed="false">
      <c r="C4" s="0" t="n">
        <v>50</v>
      </c>
      <c r="D4" s="0" t="n">
        <f aca="false">C4*$B$1</f>
        <v>450</v>
      </c>
      <c r="E4" s="0" t="n">
        <f aca="false">D4*$B$2</f>
        <v>418.5</v>
      </c>
      <c r="F4" s="25" t="n">
        <f aca="false">E4/$B$3</f>
        <v>7.47321428571429</v>
      </c>
      <c r="G4" s="473" t="n">
        <f aca="false">$F$4*G1</f>
        <v>0.747321428571429</v>
      </c>
      <c r="H4" s="25" t="n">
        <f aca="false">$F$4*H1</f>
        <v>1.49464285714286</v>
      </c>
      <c r="I4" s="25" t="n">
        <f aca="false">$F$4*I1</f>
        <v>2.24196428571429</v>
      </c>
      <c r="J4" s="25" t="n">
        <f aca="false">$F$4*J1</f>
        <v>2.98928571428571</v>
      </c>
      <c r="K4" s="25" t="n">
        <f aca="false">$F$4*K1</f>
        <v>3.73660714285714</v>
      </c>
      <c r="L4" s="25" t="n">
        <f aca="false">$F$4*L1</f>
        <v>4.48392857142857</v>
      </c>
      <c r="M4" s="25" t="n">
        <f aca="false">$F$4*M1</f>
        <v>5.23125</v>
      </c>
      <c r="N4" s="25" t="n">
        <f aca="false">$F$4*N1</f>
        <v>5.97857142857143</v>
      </c>
      <c r="O4" s="25" t="n">
        <f aca="false">$F$4*O1</f>
        <v>6.72589285714286</v>
      </c>
      <c r="P4" s="25" t="n">
        <f aca="false">$F$4*P1</f>
        <v>7.47321428571429</v>
      </c>
      <c r="Q4" s="472"/>
    </row>
    <row r="5" customFormat="false" ht="12.8" hidden="false" customHeight="false" outlineLevel="0" collapsed="false">
      <c r="C5" s="0" t="n">
        <v>60</v>
      </c>
      <c r="D5" s="0" t="n">
        <f aca="false">C5*$B$1</f>
        <v>540</v>
      </c>
      <c r="E5" s="0" t="n">
        <f aca="false">D5*$B$2</f>
        <v>502.2</v>
      </c>
      <c r="F5" s="25" t="n">
        <f aca="false">E5/$B$3</f>
        <v>8.96785714285714</v>
      </c>
      <c r="G5" s="474" t="n">
        <f aca="false">$F$5*G1</f>
        <v>0.896785714285714</v>
      </c>
      <c r="H5" s="475" t="n">
        <f aca="false">$F$5*H1</f>
        <v>1.79357142857143</v>
      </c>
      <c r="I5" s="475" t="n">
        <f aca="false">$F$5*I1</f>
        <v>2.69035714285714</v>
      </c>
      <c r="J5" s="475" t="n">
        <f aca="false">$F$5*J1</f>
        <v>3.58714285714286</v>
      </c>
      <c r="K5" s="475" t="n">
        <f aca="false">$F$5*K1</f>
        <v>4.48392857142857</v>
      </c>
      <c r="L5" s="475" t="n">
        <f aca="false">$F$5*L1</f>
        <v>5.38071428571429</v>
      </c>
      <c r="M5" s="475" t="n">
        <f aca="false">$F$5*M1</f>
        <v>6.2775</v>
      </c>
      <c r="N5" s="475" t="n">
        <f aca="false">$F$5*N1</f>
        <v>7.17428571428571</v>
      </c>
      <c r="O5" s="475" t="n">
        <f aca="false">$F$5*O1</f>
        <v>8.07107142857143</v>
      </c>
      <c r="P5" s="475" t="n">
        <f aca="false">$F$5*P1</f>
        <v>8.96785714285714</v>
      </c>
      <c r="Q5" s="472"/>
    </row>
    <row r="7" customFormat="false" ht="12.8" hidden="false" customHeight="false" outlineLevel="0" collapsed="false">
      <c r="C7" s="0" t="n">
        <f aca="false">C2</f>
        <v>10</v>
      </c>
      <c r="D7" s="0" t="n">
        <f aca="false">D2</f>
        <v>90</v>
      </c>
      <c r="E7" s="0" t="n">
        <f aca="false">E2</f>
        <v>83.7</v>
      </c>
      <c r="F7" s="25" t="n">
        <f aca="false">F2</f>
        <v>1.49464285714286</v>
      </c>
      <c r="G7" s="476" t="n">
        <f aca="false">$B$3*G2</f>
        <v>8.37</v>
      </c>
      <c r="H7" s="477" t="n">
        <f aca="false">$B$3*H2</f>
        <v>16.74</v>
      </c>
      <c r="I7" s="477" t="n">
        <f aca="false">$B$3*I2</f>
        <v>25.11</v>
      </c>
      <c r="J7" s="477" t="n">
        <f aca="false">$B$3*J2</f>
        <v>33.48</v>
      </c>
      <c r="K7" s="477" t="n">
        <f aca="false">$B$3*K2</f>
        <v>41.85</v>
      </c>
      <c r="L7" s="477" t="n">
        <f aca="false">$B$3*L2</f>
        <v>50.22</v>
      </c>
      <c r="M7" s="477" t="n">
        <f aca="false">$B$3*M2</f>
        <v>58.59</v>
      </c>
      <c r="N7" s="477" t="n">
        <f aca="false">$B$3*N2</f>
        <v>66.96</v>
      </c>
      <c r="O7" s="477" t="n">
        <f aca="false">$B$3*O2</f>
        <v>75.33</v>
      </c>
      <c r="P7" s="477" t="n">
        <f aca="false">$B$3*P2</f>
        <v>83.7</v>
      </c>
      <c r="Q7" s="472" t="s">
        <v>904</v>
      </c>
    </row>
    <row r="8" customFormat="false" ht="12.8" hidden="false" customHeight="false" outlineLevel="0" collapsed="false">
      <c r="C8" s="0" t="n">
        <f aca="false">C3</f>
        <v>30</v>
      </c>
      <c r="D8" s="0" t="n">
        <f aca="false">D3</f>
        <v>270</v>
      </c>
      <c r="E8" s="0" t="n">
        <f aca="false">E3</f>
        <v>251.1</v>
      </c>
      <c r="F8" s="25" t="n">
        <f aca="false">F3</f>
        <v>4.48392857142857</v>
      </c>
      <c r="G8" s="478" t="n">
        <f aca="false">$B$3*G3</f>
        <v>25.11</v>
      </c>
      <c r="H8" s="0" t="n">
        <f aca="false">$B$3*H3</f>
        <v>50.22</v>
      </c>
      <c r="I8" s="0" t="n">
        <f aca="false">$B$3*I3</f>
        <v>75.33</v>
      </c>
      <c r="J8" s="0" t="n">
        <f aca="false">$B$3*J3</f>
        <v>100.44</v>
      </c>
      <c r="K8" s="0" t="n">
        <f aca="false">$B$3*K3</f>
        <v>125.55</v>
      </c>
      <c r="L8" s="0" t="n">
        <f aca="false">$B$3*L3</f>
        <v>150.66</v>
      </c>
      <c r="M8" s="0" t="n">
        <f aca="false">$B$3*M3</f>
        <v>175.77</v>
      </c>
      <c r="N8" s="0" t="n">
        <f aca="false">$B$3*N3</f>
        <v>200.88</v>
      </c>
      <c r="O8" s="0" t="n">
        <f aca="false">$B$3*O3</f>
        <v>225.99</v>
      </c>
      <c r="P8" s="0" t="n">
        <f aca="false">$B$3*P3</f>
        <v>251.1</v>
      </c>
      <c r="Q8" s="472"/>
    </row>
    <row r="9" customFormat="false" ht="12.8" hidden="false" customHeight="false" outlineLevel="0" collapsed="false">
      <c r="C9" s="0" t="n">
        <f aca="false">C4</f>
        <v>50</v>
      </c>
      <c r="D9" s="0" t="n">
        <f aca="false">D4</f>
        <v>450</v>
      </c>
      <c r="E9" s="0" t="n">
        <f aca="false">E4</f>
        <v>418.5</v>
      </c>
      <c r="F9" s="25" t="n">
        <f aca="false">F4</f>
        <v>7.47321428571429</v>
      </c>
      <c r="G9" s="478" t="n">
        <f aca="false">$B$3*G4</f>
        <v>41.85</v>
      </c>
      <c r="H9" s="0" t="n">
        <f aca="false">$B$3*H4</f>
        <v>83.7</v>
      </c>
      <c r="I9" s="0" t="n">
        <f aca="false">$B$3*I4</f>
        <v>125.55</v>
      </c>
      <c r="J9" s="0" t="n">
        <f aca="false">$B$3*J4</f>
        <v>167.4</v>
      </c>
      <c r="K9" s="0" t="n">
        <f aca="false">$B$3*K4</f>
        <v>209.25</v>
      </c>
      <c r="L9" s="0" t="n">
        <f aca="false">$B$3*L4</f>
        <v>251.1</v>
      </c>
      <c r="M9" s="0" t="n">
        <f aca="false">$B$3*M4</f>
        <v>292.95</v>
      </c>
      <c r="N9" s="0" t="n">
        <f aca="false">$B$3*N4</f>
        <v>334.8</v>
      </c>
      <c r="O9" s="0" t="n">
        <f aca="false">$B$3*O4</f>
        <v>376.65</v>
      </c>
      <c r="P9" s="0" t="n">
        <f aca="false">$B$3*P4</f>
        <v>418.5</v>
      </c>
      <c r="Q9" s="472"/>
    </row>
    <row r="10" customFormat="false" ht="12.8" hidden="false" customHeight="false" outlineLevel="0" collapsed="false">
      <c r="C10" s="0" t="n">
        <f aca="false">C5</f>
        <v>60</v>
      </c>
      <c r="D10" s="0" t="n">
        <f aca="false">D5</f>
        <v>540</v>
      </c>
      <c r="E10" s="0" t="n">
        <f aca="false">E5</f>
        <v>502.2</v>
      </c>
      <c r="F10" s="25" t="n">
        <f aca="false">F5</f>
        <v>8.96785714285714</v>
      </c>
      <c r="G10" s="479" t="n">
        <f aca="false">$B$3*G5</f>
        <v>50.22</v>
      </c>
      <c r="H10" s="480" t="n">
        <f aca="false">$B$3*H5</f>
        <v>100.44</v>
      </c>
      <c r="I10" s="480" t="n">
        <f aca="false">$B$3*I5</f>
        <v>150.66</v>
      </c>
      <c r="J10" s="480" t="n">
        <f aca="false">$B$3*J5</f>
        <v>200.88</v>
      </c>
      <c r="K10" s="480" t="n">
        <f aca="false">$B$3*K5</f>
        <v>251.1</v>
      </c>
      <c r="L10" s="480" t="n">
        <f aca="false">$B$3*L5</f>
        <v>301.32</v>
      </c>
      <c r="M10" s="480" t="n">
        <f aca="false">$B$3*M5</f>
        <v>351.54</v>
      </c>
      <c r="N10" s="480" t="n">
        <f aca="false">$B$3*N5</f>
        <v>401.76</v>
      </c>
      <c r="O10" s="480" t="n">
        <f aca="false">$B$3*O5</f>
        <v>451.98</v>
      </c>
      <c r="P10" s="480" t="n">
        <f aca="false">$B$3*P5</f>
        <v>502.2</v>
      </c>
      <c r="Q10" s="472"/>
    </row>
  </sheetData>
  <mergeCells count="2">
    <mergeCell ref="Q2:Q5"/>
    <mergeCell ref="Q7:Q10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N4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2" customFormat="false" ht="12.8" hidden="false" customHeight="false" outlineLevel="0" collapsed="false">
      <c r="C2" s="0" t="s">
        <v>905</v>
      </c>
    </row>
    <row r="3" customFormat="false" ht="12.8" hidden="false" customHeight="false" outlineLevel="0" collapsed="false">
      <c r="C3" s="0" t="s">
        <v>906</v>
      </c>
    </row>
    <row r="6" customFormat="false" ht="12.8" hidden="false" customHeight="false" outlineLevel="0" collapsed="false">
      <c r="C6" s="67" t="s">
        <v>907</v>
      </c>
      <c r="D6" s="67" t="s">
        <v>239</v>
      </c>
      <c r="E6" s="481" t="n">
        <v>0.1</v>
      </c>
      <c r="F6" s="481" t="n">
        <v>0.2</v>
      </c>
      <c r="G6" s="481" t="n">
        <v>0.3</v>
      </c>
      <c r="H6" s="481" t="n">
        <v>0.4</v>
      </c>
      <c r="I6" s="481" t="n">
        <v>0.5</v>
      </c>
      <c r="J6" s="481" t="n">
        <v>0.6</v>
      </c>
      <c r="K6" s="481" t="n">
        <v>0.7</v>
      </c>
      <c r="L6" s="481" t="n">
        <v>0.8</v>
      </c>
      <c r="M6" s="481" t="n">
        <v>0.9</v>
      </c>
      <c r="N6" s="481" t="n">
        <v>1</v>
      </c>
    </row>
    <row r="7" customFormat="false" ht="12.8" hidden="false" customHeight="false" outlineLevel="0" collapsed="false">
      <c r="C7" s="67" t="s">
        <v>908</v>
      </c>
      <c r="D7" s="0" t="n">
        <v>10</v>
      </c>
      <c r="E7" s="482" t="n">
        <v>0.83</v>
      </c>
      <c r="F7" s="482" t="n">
        <v>0.84</v>
      </c>
      <c r="G7" s="482" t="n">
        <v>0.87</v>
      </c>
      <c r="H7" s="482" t="n">
        <v>0.89</v>
      </c>
      <c r="I7" s="482" t="n">
        <v>0.9</v>
      </c>
      <c r="J7" s="482" t="n">
        <v>0.89</v>
      </c>
      <c r="K7" s="482" t="n">
        <v>0.89</v>
      </c>
      <c r="L7" s="482" t="n">
        <v>0.85</v>
      </c>
      <c r="M7" s="482" t="n">
        <v>0.84</v>
      </c>
      <c r="N7" s="482" t="n">
        <v>0.85</v>
      </c>
    </row>
    <row r="8" customFormat="false" ht="12.8" hidden="false" customHeight="false" outlineLevel="0" collapsed="false">
      <c r="C8" s="67" t="s">
        <v>908</v>
      </c>
      <c r="D8" s="0" t="n">
        <v>30</v>
      </c>
      <c r="E8" s="482" t="n">
        <v>0.87</v>
      </c>
      <c r="F8" s="482" t="n">
        <v>0.9</v>
      </c>
      <c r="G8" s="482" t="n">
        <v>0.89</v>
      </c>
      <c r="H8" s="482" t="n">
        <v>0.92</v>
      </c>
      <c r="I8" s="482" t="n">
        <v>0.92</v>
      </c>
      <c r="J8" s="482" t="n">
        <v>0.93</v>
      </c>
      <c r="K8" s="482" t="n">
        <v>0.94</v>
      </c>
      <c r="L8" s="482" t="n">
        <v>0.92</v>
      </c>
      <c r="M8" s="482" t="n">
        <v>0.92</v>
      </c>
      <c r="N8" s="482" t="n">
        <v>0.92</v>
      </c>
    </row>
    <row r="9" customFormat="false" ht="12.8" hidden="false" customHeight="false" outlineLevel="0" collapsed="false">
      <c r="C9" s="67" t="s">
        <v>908</v>
      </c>
      <c r="D9" s="0" t="n">
        <v>50</v>
      </c>
      <c r="E9" s="482" t="n">
        <v>0.91</v>
      </c>
      <c r="F9" s="482" t="n">
        <v>0.88</v>
      </c>
      <c r="G9" s="482" t="n">
        <v>0.92</v>
      </c>
      <c r="H9" s="482" t="n">
        <v>0.93</v>
      </c>
      <c r="I9" s="482" t="n">
        <v>0.93</v>
      </c>
      <c r="J9" s="482" t="n">
        <v>0.93</v>
      </c>
      <c r="K9" s="482" t="n">
        <v>0.92</v>
      </c>
      <c r="L9" s="482" t="n">
        <v>0.93</v>
      </c>
      <c r="M9" s="482" t="n">
        <v>0.93</v>
      </c>
      <c r="N9" s="482" t="n">
        <v>0.92</v>
      </c>
    </row>
    <row r="10" customFormat="false" ht="12.8" hidden="false" customHeight="false" outlineLevel="0" collapsed="false">
      <c r="C10" s="67" t="s">
        <v>908</v>
      </c>
      <c r="D10" s="0" t="n">
        <v>60</v>
      </c>
      <c r="E10" s="482" t="n">
        <v>0.89</v>
      </c>
      <c r="F10" s="482" t="n">
        <v>0.89</v>
      </c>
      <c r="G10" s="482" t="n">
        <v>0.92</v>
      </c>
      <c r="H10" s="482" t="n">
        <v>0.92</v>
      </c>
      <c r="I10" s="482" t="n">
        <v>0.93</v>
      </c>
      <c r="J10" s="482" t="n">
        <v>0.93</v>
      </c>
      <c r="K10" s="482" t="n">
        <v>0.93</v>
      </c>
      <c r="L10" s="482" t="n">
        <v>0.93</v>
      </c>
      <c r="M10" s="482" t="n">
        <v>0.93</v>
      </c>
      <c r="N10" s="482" t="n">
        <v>0.93</v>
      </c>
    </row>
    <row r="11" customFormat="false" ht="12.8" hidden="false" customHeight="false" outlineLevel="0" collapsed="false">
      <c r="C11" s="67" t="s">
        <v>909</v>
      </c>
      <c r="D11" s="0" t="n">
        <v>10</v>
      </c>
      <c r="E11" s="482" t="n">
        <v>0.78</v>
      </c>
      <c r="F11" s="482" t="n">
        <v>0.86</v>
      </c>
      <c r="G11" s="482" t="n">
        <v>0.87</v>
      </c>
      <c r="H11" s="482" t="n">
        <v>0.85</v>
      </c>
      <c r="I11" s="482" t="n">
        <v>0.86</v>
      </c>
      <c r="J11" s="482" t="n">
        <v>0.87</v>
      </c>
      <c r="K11" s="482" t="n">
        <v>0.86</v>
      </c>
      <c r="L11" s="482" t="n">
        <v>0.87</v>
      </c>
      <c r="M11" s="482" t="n">
        <v>0.86</v>
      </c>
      <c r="N11" s="482" t="n">
        <v>0.86</v>
      </c>
    </row>
    <row r="12" customFormat="false" ht="12.8" hidden="false" customHeight="false" outlineLevel="0" collapsed="false">
      <c r="C12" s="67" t="s">
        <v>909</v>
      </c>
      <c r="D12" s="0" t="n">
        <v>30</v>
      </c>
      <c r="E12" s="482" t="n">
        <v>0.89</v>
      </c>
      <c r="F12" s="482" t="n">
        <v>0.89</v>
      </c>
      <c r="G12" s="482" t="n">
        <v>0.92</v>
      </c>
      <c r="H12" s="482" t="n">
        <v>0.92</v>
      </c>
      <c r="I12" s="482" t="n">
        <v>0.93</v>
      </c>
      <c r="J12" s="482" t="n">
        <v>0.92</v>
      </c>
      <c r="K12" s="482" t="n">
        <v>0.93</v>
      </c>
      <c r="L12" s="482" t="n">
        <v>0.93</v>
      </c>
      <c r="M12" s="482" t="n">
        <v>0.92</v>
      </c>
      <c r="N12" s="482" t="n">
        <v>0.92</v>
      </c>
    </row>
    <row r="13" customFormat="false" ht="12.8" hidden="false" customHeight="false" outlineLevel="0" collapsed="false">
      <c r="C13" s="67" t="s">
        <v>909</v>
      </c>
      <c r="D13" s="0" t="n">
        <v>50</v>
      </c>
      <c r="E13" s="482" t="n">
        <v>0.87</v>
      </c>
      <c r="F13" s="482" t="n">
        <v>0.91</v>
      </c>
      <c r="G13" s="482" t="n">
        <v>0.92</v>
      </c>
      <c r="H13" s="482" t="n">
        <v>0.93</v>
      </c>
      <c r="I13" s="482" t="n">
        <v>0.93</v>
      </c>
      <c r="J13" s="482" t="n">
        <v>0.93</v>
      </c>
      <c r="K13" s="482" t="n">
        <v>0.93</v>
      </c>
      <c r="L13" s="482" t="n">
        <v>0.93</v>
      </c>
      <c r="M13" s="482" t="n">
        <v>0.92</v>
      </c>
      <c r="N13" s="482" t="n">
        <v>0.93</v>
      </c>
    </row>
    <row r="14" customFormat="false" ht="12.8" hidden="false" customHeight="false" outlineLevel="0" collapsed="false">
      <c r="C14" s="67" t="s">
        <v>909</v>
      </c>
      <c r="D14" s="0" t="n">
        <v>60</v>
      </c>
      <c r="E14" s="482" t="n">
        <v>0.88</v>
      </c>
      <c r="F14" s="482" t="n">
        <v>0.9</v>
      </c>
      <c r="G14" s="482" t="n">
        <v>0.92</v>
      </c>
      <c r="H14" s="482" t="n">
        <v>0.93</v>
      </c>
      <c r="I14" s="482" t="n">
        <v>0.93</v>
      </c>
      <c r="J14" s="482" t="n">
        <v>0.93</v>
      </c>
      <c r="K14" s="482" t="n">
        <v>0.93</v>
      </c>
      <c r="L14" s="482" t="n">
        <v>0.93</v>
      </c>
      <c r="M14" s="482" t="n">
        <v>0.93</v>
      </c>
      <c r="N14" s="482" t="n">
        <v>0.92</v>
      </c>
    </row>
    <row r="41" customFormat="false" ht="12.8" hidden="false" customHeight="false" outlineLevel="0" collapsed="false">
      <c r="B41" s="468" t="s">
        <v>910</v>
      </c>
      <c r="C41" s="0" t="s">
        <v>911</v>
      </c>
    </row>
    <row r="42" customFormat="false" ht="12.8" hidden="false" customHeight="false" outlineLevel="0" collapsed="false">
      <c r="C42" s="0" t="s">
        <v>912</v>
      </c>
    </row>
    <row r="43" customFormat="false" ht="12.8" hidden="false" customHeight="false" outlineLevel="0" collapsed="false">
      <c r="B43" s="468" t="s">
        <v>913</v>
      </c>
      <c r="C43" s="0" t="s">
        <v>914</v>
      </c>
    </row>
    <row r="44" customFormat="false" ht="12.8" hidden="false" customHeight="false" outlineLevel="0" collapsed="false">
      <c r="C44" s="0" t="s">
        <v>915</v>
      </c>
    </row>
    <row r="45" customFormat="false" ht="12.8" hidden="false" customHeight="false" outlineLevel="0" collapsed="false">
      <c r="C45" s="0" t="s">
        <v>916</v>
      </c>
    </row>
    <row r="46" customFormat="false" ht="12.8" hidden="false" customHeight="false" outlineLevel="0" collapsed="false">
      <c r="C46" s="0" t="s">
        <v>917</v>
      </c>
    </row>
    <row r="47" customFormat="false" ht="12.8" hidden="false" customHeight="false" outlineLevel="0" collapsed="false">
      <c r="C47" s="0" t="s">
        <v>918</v>
      </c>
    </row>
    <row r="48" customFormat="false" ht="12.8" hidden="false" customHeight="false" outlineLevel="0" collapsed="false">
      <c r="C48" s="0" t="s">
        <v>919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5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ColWidth="14.94140625" defaultRowHeight="12.8" zeroHeight="false" outlineLevelRow="0" outlineLevelCol="0"/>
  <cols>
    <col collapsed="false" customWidth="true" hidden="false" outlineLevel="0" max="1" min="1" style="483" width="22.27"/>
    <col collapsed="false" customWidth="true" hidden="false" outlineLevel="0" max="2" min="2" style="483" width="13.41"/>
    <col collapsed="false" customWidth="true" hidden="false" outlineLevel="0" max="3" min="3" style="484" width="6.88"/>
    <col collapsed="false" customWidth="true" hidden="false" outlineLevel="0" max="4" min="4" style="484" width="8.52"/>
    <col collapsed="false" customWidth="true" hidden="false" outlineLevel="0" max="5" min="5" style="88" width="24.8"/>
    <col collapsed="false" customWidth="true" hidden="false" outlineLevel="0" max="6" min="6" style="485" width="13.89"/>
    <col collapsed="false" customWidth="true" hidden="false" outlineLevel="0" max="7" min="7" style="483" width="13.55"/>
    <col collapsed="false" customWidth="true" hidden="false" outlineLevel="0" max="8" min="8" style="486" width="33.97"/>
    <col collapsed="false" customWidth="true" hidden="false" outlineLevel="0" max="9" min="9" style="485" width="53.04"/>
    <col collapsed="false" customWidth="true" hidden="false" outlineLevel="0" max="10" min="10" style="486" width="37.73"/>
    <col collapsed="false" customWidth="false" hidden="false" outlineLevel="0" max="64" min="11" style="483" width="14.92"/>
    <col collapsed="false" customWidth="true" hidden="false" outlineLevel="0" max="1024" min="1021" style="483" width="11.52"/>
  </cols>
  <sheetData>
    <row r="1" customFormat="false" ht="12.8" hidden="false" customHeight="false" outlineLevel="0" collapsed="false">
      <c r="A1" s="487" t="s">
        <v>920</v>
      </c>
      <c r="B1" s="487" t="s">
        <v>921</v>
      </c>
      <c r="C1" s="487" t="s">
        <v>8</v>
      </c>
      <c r="D1" s="487" t="s">
        <v>922</v>
      </c>
      <c r="E1" s="487" t="s">
        <v>5</v>
      </c>
      <c r="F1" s="488" t="s">
        <v>923</v>
      </c>
      <c r="G1" s="487" t="s">
        <v>924</v>
      </c>
      <c r="H1" s="488" t="s">
        <v>7</v>
      </c>
      <c r="I1" s="488" t="s">
        <v>9</v>
      </c>
      <c r="J1" s="489" t="s">
        <v>6</v>
      </c>
    </row>
    <row r="2" customFormat="false" ht="23.85" hidden="false" customHeight="false" outlineLevel="0" collapsed="false">
      <c r="A2" s="483" t="s">
        <v>925</v>
      </c>
      <c r="B2" s="490" t="s">
        <v>926</v>
      </c>
      <c r="C2" s="491" t="n">
        <v>2</v>
      </c>
      <c r="D2" s="491" t="s">
        <v>75</v>
      </c>
      <c r="E2" s="88" t="n">
        <v>20</v>
      </c>
      <c r="F2" s="485" t="s">
        <v>927</v>
      </c>
      <c r="G2" s="483" t="s">
        <v>928</v>
      </c>
      <c r="H2" s="492" t="s">
        <v>929</v>
      </c>
      <c r="I2" s="485" t="s">
        <v>930</v>
      </c>
      <c r="J2" s="486" t="s">
        <v>931</v>
      </c>
    </row>
    <row r="3" customFormat="false" ht="24.85" hidden="false" customHeight="false" outlineLevel="0" collapsed="false">
      <c r="A3" s="483" t="s">
        <v>925</v>
      </c>
      <c r="B3" s="490" t="s">
        <v>926</v>
      </c>
      <c r="C3" s="491" t="n">
        <v>2</v>
      </c>
      <c r="D3" s="491" t="s">
        <v>75</v>
      </c>
      <c r="E3" s="88" t="s">
        <v>932</v>
      </c>
      <c r="F3" s="485" t="s">
        <v>933</v>
      </c>
      <c r="G3" s="483" t="s">
        <v>928</v>
      </c>
      <c r="H3" s="492" t="s">
        <v>934</v>
      </c>
      <c r="I3" s="485" t="s">
        <v>935</v>
      </c>
      <c r="J3" s="486" t="s">
        <v>936</v>
      </c>
    </row>
    <row r="4" customFormat="false" ht="23.85" hidden="false" customHeight="false" outlineLevel="0" collapsed="false">
      <c r="A4" s="483" t="s">
        <v>925</v>
      </c>
      <c r="B4" s="490" t="s">
        <v>926</v>
      </c>
      <c r="C4" s="491" t="n">
        <v>2</v>
      </c>
      <c r="D4" s="484" t="s">
        <v>75</v>
      </c>
      <c r="E4" s="88" t="s">
        <v>937</v>
      </c>
      <c r="F4" s="485" t="s">
        <v>933</v>
      </c>
      <c r="G4" s="483" t="s">
        <v>928</v>
      </c>
      <c r="H4" s="88" t="s">
        <v>938</v>
      </c>
      <c r="I4" s="88" t="s">
        <v>939</v>
      </c>
      <c r="J4" s="486" t="s">
        <v>940</v>
      </c>
    </row>
    <row r="5" customFormat="false" ht="12.9" hidden="false" customHeight="false" outlineLevel="0" collapsed="false">
      <c r="A5" s="483" t="s">
        <v>925</v>
      </c>
      <c r="B5" s="490" t="s">
        <v>926</v>
      </c>
      <c r="C5" s="491" t="n">
        <v>2</v>
      </c>
      <c r="D5" s="484" t="s">
        <v>75</v>
      </c>
      <c r="E5" s="88" t="s">
        <v>941</v>
      </c>
      <c r="F5" s="485" t="s">
        <v>933</v>
      </c>
      <c r="G5" s="483" t="s">
        <v>928</v>
      </c>
      <c r="H5" s="492" t="s">
        <v>942</v>
      </c>
      <c r="I5" s="485" t="s">
        <v>943</v>
      </c>
      <c r="J5" s="486" t="s">
        <v>940</v>
      </c>
    </row>
    <row r="6" customFormat="false" ht="12.9" hidden="false" customHeight="false" outlineLevel="0" collapsed="false">
      <c r="A6" s="483" t="s">
        <v>925</v>
      </c>
      <c r="B6" s="490" t="s">
        <v>926</v>
      </c>
      <c r="C6" s="491" t="n">
        <v>2</v>
      </c>
      <c r="D6" s="491" t="s">
        <v>75</v>
      </c>
      <c r="E6" s="88" t="s">
        <v>890</v>
      </c>
      <c r="F6" s="485" t="s">
        <v>944</v>
      </c>
      <c r="G6" s="483" t="s">
        <v>928</v>
      </c>
      <c r="H6" s="492" t="s">
        <v>945</v>
      </c>
      <c r="I6" s="485" t="s">
        <v>946</v>
      </c>
      <c r="J6" s="486" t="s">
        <v>947</v>
      </c>
    </row>
    <row r="7" customFormat="false" ht="12.8" hidden="false" customHeight="false" outlineLevel="0" collapsed="false">
      <c r="A7" s="483" t="s">
        <v>925</v>
      </c>
      <c r="B7" s="490" t="s">
        <v>926</v>
      </c>
      <c r="C7" s="491" t="n">
        <v>2</v>
      </c>
      <c r="D7" s="491" t="s">
        <v>75</v>
      </c>
      <c r="E7" s="88" t="s">
        <v>948</v>
      </c>
      <c r="F7" s="485" t="s">
        <v>949</v>
      </c>
      <c r="G7" s="483" t="s">
        <v>928</v>
      </c>
      <c r="H7" s="492" t="s">
        <v>950</v>
      </c>
      <c r="I7" s="485" t="s">
        <v>951</v>
      </c>
      <c r="J7" s="486" t="s">
        <v>952</v>
      </c>
    </row>
    <row r="8" customFormat="false" ht="12.8" hidden="false" customHeight="false" outlineLevel="0" collapsed="false">
      <c r="A8" s="483" t="s">
        <v>925</v>
      </c>
      <c r="B8" s="490" t="s">
        <v>926</v>
      </c>
      <c r="C8" s="491" t="n">
        <v>2</v>
      </c>
      <c r="D8" s="491" t="s">
        <v>75</v>
      </c>
      <c r="E8" s="88" t="s">
        <v>953</v>
      </c>
      <c r="F8" s="485" t="s">
        <v>933</v>
      </c>
      <c r="G8" s="483" t="s">
        <v>928</v>
      </c>
      <c r="H8" s="492" t="s">
        <v>954</v>
      </c>
      <c r="I8" s="485" t="s">
        <v>955</v>
      </c>
      <c r="J8" s="486" t="s">
        <v>956</v>
      </c>
    </row>
    <row r="9" customFormat="false" ht="23.85" hidden="false" customHeight="false" outlineLevel="0" collapsed="false">
      <c r="A9" s="483" t="s">
        <v>925</v>
      </c>
      <c r="B9" s="490" t="s">
        <v>926</v>
      </c>
      <c r="C9" s="491" t="n">
        <v>2</v>
      </c>
      <c r="D9" s="491" t="s">
        <v>75</v>
      </c>
      <c r="E9" s="88" t="s">
        <v>957</v>
      </c>
      <c r="F9" s="485" t="s">
        <v>958</v>
      </c>
      <c r="G9" s="483" t="s">
        <v>928</v>
      </c>
      <c r="H9" s="492" t="s">
        <v>959</v>
      </c>
      <c r="I9" s="485" t="s">
        <v>960</v>
      </c>
      <c r="J9" s="486" t="s">
        <v>961</v>
      </c>
    </row>
    <row r="10" customFormat="false" ht="12.8" hidden="false" customHeight="false" outlineLevel="0" collapsed="false">
      <c r="A10" s="483" t="s">
        <v>925</v>
      </c>
      <c r="B10" s="490" t="s">
        <v>926</v>
      </c>
      <c r="C10" s="491" t="n">
        <v>4</v>
      </c>
      <c r="D10" s="491" t="s">
        <v>75</v>
      </c>
      <c r="E10" s="88" t="s">
        <v>962</v>
      </c>
      <c r="F10" s="88" t="s">
        <v>963</v>
      </c>
      <c r="G10" s="483" t="s">
        <v>928</v>
      </c>
      <c r="H10" s="88" t="s">
        <v>964</v>
      </c>
      <c r="I10" s="88" t="s">
        <v>965</v>
      </c>
      <c r="J10" s="486" t="s">
        <v>966</v>
      </c>
    </row>
    <row r="11" customFormat="false" ht="24.85" hidden="false" customHeight="false" outlineLevel="0" collapsed="false">
      <c r="A11" s="483" t="s">
        <v>925</v>
      </c>
      <c r="B11" s="490" t="s">
        <v>926</v>
      </c>
      <c r="C11" s="491" t="n">
        <v>2</v>
      </c>
      <c r="D11" s="484" t="s">
        <v>75</v>
      </c>
      <c r="E11" s="88" t="s">
        <v>721</v>
      </c>
      <c r="F11" s="485" t="s">
        <v>967</v>
      </c>
      <c r="G11" s="483" t="s">
        <v>928</v>
      </c>
      <c r="H11" s="492" t="s">
        <v>968</v>
      </c>
      <c r="I11" s="485" t="s">
        <v>969</v>
      </c>
      <c r="J11" s="486" t="s">
        <v>970</v>
      </c>
    </row>
    <row r="12" customFormat="false" ht="24.85" hidden="false" customHeight="false" outlineLevel="0" collapsed="false">
      <c r="A12" s="483" t="s">
        <v>925</v>
      </c>
      <c r="B12" s="490" t="s">
        <v>926</v>
      </c>
      <c r="C12" s="491" t="n">
        <v>2</v>
      </c>
      <c r="D12" s="491" t="s">
        <v>300</v>
      </c>
      <c r="E12" s="88" t="n">
        <v>20</v>
      </c>
      <c r="F12" s="485" t="s">
        <v>971</v>
      </c>
      <c r="G12" s="483" t="s">
        <v>928</v>
      </c>
      <c r="H12" s="492" t="s">
        <v>972</v>
      </c>
      <c r="I12" s="485" t="s">
        <v>973</v>
      </c>
      <c r="J12" s="486" t="s">
        <v>974</v>
      </c>
    </row>
    <row r="13" customFormat="false" ht="12.9" hidden="false" customHeight="false" outlineLevel="0" collapsed="false">
      <c r="A13" s="483" t="s">
        <v>925</v>
      </c>
      <c r="B13" s="490" t="s">
        <v>926</v>
      </c>
      <c r="C13" s="491" t="n">
        <v>2</v>
      </c>
      <c r="D13" s="484" t="s">
        <v>75</v>
      </c>
      <c r="E13" s="88" t="s">
        <v>975</v>
      </c>
      <c r="F13" s="485" t="s">
        <v>933</v>
      </c>
      <c r="G13" s="483" t="s">
        <v>928</v>
      </c>
      <c r="H13" s="492" t="s">
        <v>976</v>
      </c>
      <c r="I13" s="485" t="s">
        <v>977</v>
      </c>
      <c r="J13" s="486" t="s">
        <v>974</v>
      </c>
    </row>
    <row r="14" customFormat="false" ht="24.85" hidden="false" customHeight="false" outlineLevel="0" collapsed="false">
      <c r="A14" s="483" t="s">
        <v>925</v>
      </c>
      <c r="B14" s="490" t="s">
        <v>926</v>
      </c>
      <c r="C14" s="491" t="n">
        <v>2</v>
      </c>
      <c r="D14" s="491" t="s">
        <v>75</v>
      </c>
      <c r="E14" s="88" t="s">
        <v>978</v>
      </c>
      <c r="F14" s="485" t="s">
        <v>979</v>
      </c>
      <c r="G14" s="483" t="s">
        <v>928</v>
      </c>
      <c r="H14" s="493" t="s">
        <v>980</v>
      </c>
      <c r="I14" s="88" t="s">
        <v>981</v>
      </c>
      <c r="J14" s="486" t="s">
        <v>982</v>
      </c>
    </row>
    <row r="15" customFormat="false" ht="24.85" hidden="false" customHeight="false" outlineLevel="0" collapsed="false">
      <c r="A15" s="483" t="s">
        <v>925</v>
      </c>
      <c r="B15" s="490" t="s">
        <v>926</v>
      </c>
      <c r="C15" s="491" t="n">
        <v>2</v>
      </c>
      <c r="D15" s="491" t="s">
        <v>75</v>
      </c>
      <c r="E15" s="88" t="s">
        <v>983</v>
      </c>
      <c r="F15" s="485" t="s">
        <v>933</v>
      </c>
      <c r="G15" s="483" t="s">
        <v>928</v>
      </c>
      <c r="H15" s="492" t="s">
        <v>984</v>
      </c>
      <c r="I15" s="485" t="s">
        <v>985</v>
      </c>
      <c r="J15" s="486" t="s">
        <v>982</v>
      </c>
    </row>
    <row r="16" customFormat="false" ht="12.9" hidden="false" customHeight="false" outlineLevel="0" collapsed="false">
      <c r="A16" s="483" t="s">
        <v>925</v>
      </c>
      <c r="B16" s="490" t="s">
        <v>926</v>
      </c>
      <c r="C16" s="491" t="n">
        <v>2</v>
      </c>
      <c r="D16" s="484" t="s">
        <v>75</v>
      </c>
      <c r="E16" s="88" t="s">
        <v>986</v>
      </c>
      <c r="F16" s="485" t="s">
        <v>987</v>
      </c>
      <c r="G16" s="483" t="s">
        <v>928</v>
      </c>
      <c r="H16" s="492" t="s">
        <v>988</v>
      </c>
      <c r="I16" s="485" t="s">
        <v>989</v>
      </c>
      <c r="J16" s="486" t="s">
        <v>982</v>
      </c>
    </row>
    <row r="17" customFormat="false" ht="12.9" hidden="false" customHeight="false" outlineLevel="0" collapsed="false">
      <c r="A17" s="483" t="s">
        <v>925</v>
      </c>
      <c r="B17" s="490" t="s">
        <v>926</v>
      </c>
      <c r="C17" s="491" t="n">
        <v>4</v>
      </c>
      <c r="D17" s="484" t="s">
        <v>75</v>
      </c>
      <c r="E17" s="88" t="s">
        <v>990</v>
      </c>
      <c r="F17" s="485" t="s">
        <v>991</v>
      </c>
      <c r="G17" s="483" t="s">
        <v>928</v>
      </c>
      <c r="H17" s="492" t="s">
        <v>992</v>
      </c>
      <c r="I17" s="485" t="s">
        <v>993</v>
      </c>
      <c r="J17" s="486" t="s">
        <v>994</v>
      </c>
    </row>
    <row r="18" customFormat="false" ht="23.85" hidden="false" customHeight="false" outlineLevel="0" collapsed="false">
      <c r="A18" s="483" t="s">
        <v>925</v>
      </c>
      <c r="B18" s="490" t="s">
        <v>926</v>
      </c>
      <c r="C18" s="491" t="n">
        <v>4</v>
      </c>
      <c r="D18" s="491" t="s">
        <v>75</v>
      </c>
      <c r="E18" s="88" t="s">
        <v>995</v>
      </c>
      <c r="F18" s="485" t="s">
        <v>996</v>
      </c>
      <c r="G18" s="483" t="s">
        <v>928</v>
      </c>
      <c r="H18" s="494" t="s">
        <v>997</v>
      </c>
      <c r="I18" s="486" t="s">
        <v>998</v>
      </c>
      <c r="J18" s="486" t="s">
        <v>999</v>
      </c>
    </row>
    <row r="19" customFormat="false" ht="23.85" hidden="false" customHeight="false" outlineLevel="0" collapsed="false">
      <c r="A19" s="483" t="s">
        <v>925</v>
      </c>
      <c r="B19" s="490" t="s">
        <v>926</v>
      </c>
      <c r="C19" s="491" t="n">
        <v>2</v>
      </c>
      <c r="D19" s="484" t="s">
        <v>75</v>
      </c>
      <c r="E19" s="88" t="s">
        <v>1000</v>
      </c>
      <c r="F19" s="88" t="s">
        <v>1001</v>
      </c>
      <c r="G19" s="483" t="s">
        <v>928</v>
      </c>
      <c r="H19" s="88" t="s">
        <v>189</v>
      </c>
      <c r="I19" s="88" t="s">
        <v>190</v>
      </c>
      <c r="J19" s="486" t="s">
        <v>1002</v>
      </c>
    </row>
    <row r="20" customFormat="false" ht="12.8" hidden="false" customHeight="false" outlineLevel="0" collapsed="false">
      <c r="A20" s="483" t="s">
        <v>925</v>
      </c>
      <c r="B20" s="490" t="s">
        <v>926</v>
      </c>
      <c r="C20" s="491" t="n">
        <v>6</v>
      </c>
      <c r="D20" s="484" t="s">
        <v>75</v>
      </c>
      <c r="E20" s="88" t="s">
        <v>953</v>
      </c>
      <c r="F20" s="485" t="s">
        <v>1003</v>
      </c>
      <c r="G20" s="483" t="s">
        <v>928</v>
      </c>
      <c r="H20" s="88" t="s">
        <v>1004</v>
      </c>
      <c r="I20" s="88" t="s">
        <v>1005</v>
      </c>
      <c r="J20" s="486" t="s">
        <v>1006</v>
      </c>
    </row>
    <row r="21" customFormat="false" ht="23.85" hidden="false" customHeight="false" outlineLevel="0" collapsed="false">
      <c r="A21" s="483" t="s">
        <v>925</v>
      </c>
      <c r="B21" s="490" t="s">
        <v>926</v>
      </c>
      <c r="C21" s="491" t="n">
        <v>4</v>
      </c>
      <c r="D21" s="484" t="s">
        <v>75</v>
      </c>
      <c r="E21" s="88" t="s">
        <v>1007</v>
      </c>
      <c r="F21" s="485" t="s">
        <v>1008</v>
      </c>
      <c r="G21" s="483" t="s">
        <v>928</v>
      </c>
      <c r="H21" s="483" t="s">
        <v>202</v>
      </c>
      <c r="I21" s="483" t="s">
        <v>203</v>
      </c>
      <c r="J21" s="486" t="s">
        <v>1009</v>
      </c>
    </row>
    <row r="22" customFormat="false" ht="12.8" hidden="false" customHeight="false" outlineLevel="0" collapsed="false">
      <c r="A22" s="483" t="s">
        <v>925</v>
      </c>
      <c r="B22" s="490" t="s">
        <v>926</v>
      </c>
      <c r="C22" s="491" t="n">
        <v>2</v>
      </c>
      <c r="D22" s="491" t="s">
        <v>75</v>
      </c>
      <c r="E22" s="88" t="s">
        <v>941</v>
      </c>
      <c r="F22" s="485" t="s">
        <v>933</v>
      </c>
      <c r="G22" s="483" t="s">
        <v>928</v>
      </c>
      <c r="H22" s="492" t="s">
        <v>1010</v>
      </c>
      <c r="I22" s="485" t="s">
        <v>1011</v>
      </c>
      <c r="J22" s="486" t="s">
        <v>1012</v>
      </c>
    </row>
    <row r="23" customFormat="false" ht="12.9" hidden="false" customHeight="false" outlineLevel="0" collapsed="false">
      <c r="A23" s="483" t="s">
        <v>925</v>
      </c>
      <c r="B23" s="490" t="s">
        <v>926</v>
      </c>
      <c r="C23" s="491" t="n">
        <v>2</v>
      </c>
      <c r="D23" s="484" t="s">
        <v>75</v>
      </c>
      <c r="E23" s="88" t="s">
        <v>1013</v>
      </c>
      <c r="F23" s="485" t="s">
        <v>933</v>
      </c>
      <c r="G23" s="483" t="s">
        <v>928</v>
      </c>
      <c r="H23" s="492" t="s">
        <v>1014</v>
      </c>
      <c r="I23" s="485" t="s">
        <v>1015</v>
      </c>
      <c r="J23" s="486" t="s">
        <v>1012</v>
      </c>
    </row>
    <row r="24" customFormat="false" ht="23.85" hidden="false" customHeight="false" outlineLevel="0" collapsed="false">
      <c r="A24" s="483" t="s">
        <v>925</v>
      </c>
      <c r="B24" s="490" t="s">
        <v>926</v>
      </c>
      <c r="C24" s="491" t="n">
        <v>6</v>
      </c>
      <c r="D24" s="484" t="s">
        <v>75</v>
      </c>
      <c r="E24" s="88" t="s">
        <v>1016</v>
      </c>
      <c r="F24" s="88" t="s">
        <v>1017</v>
      </c>
      <c r="G24" s="483" t="s">
        <v>928</v>
      </c>
      <c r="H24" s="88" t="s">
        <v>127</v>
      </c>
      <c r="I24" s="88" t="s">
        <v>128</v>
      </c>
      <c r="J24" s="486" t="s">
        <v>1018</v>
      </c>
    </row>
    <row r="25" customFormat="false" ht="12.9" hidden="false" customHeight="false" outlineLevel="0" collapsed="false">
      <c r="A25" s="483" t="s">
        <v>925</v>
      </c>
      <c r="B25" s="490" t="s">
        <v>926</v>
      </c>
      <c r="C25" s="491" t="n">
        <v>2</v>
      </c>
      <c r="D25" s="484" t="s">
        <v>75</v>
      </c>
      <c r="E25" s="88" t="s">
        <v>1019</v>
      </c>
      <c r="F25" s="485" t="s">
        <v>987</v>
      </c>
      <c r="G25" s="483" t="s">
        <v>928</v>
      </c>
      <c r="H25" s="88" t="s">
        <v>1020</v>
      </c>
      <c r="I25" s="88" t="s">
        <v>1021</v>
      </c>
      <c r="J25" s="486" t="s">
        <v>1018</v>
      </c>
    </row>
    <row r="26" customFormat="false" ht="12.9" hidden="false" customHeight="false" outlineLevel="0" collapsed="false">
      <c r="A26" s="483" t="s">
        <v>925</v>
      </c>
      <c r="B26" s="490" t="s">
        <v>926</v>
      </c>
      <c r="C26" s="491" t="n">
        <v>2</v>
      </c>
      <c r="D26" s="484" t="s">
        <v>75</v>
      </c>
      <c r="E26" s="88" t="n">
        <v>1</v>
      </c>
      <c r="F26" s="485" t="s">
        <v>1022</v>
      </c>
      <c r="G26" s="483" t="s">
        <v>928</v>
      </c>
      <c r="H26" s="492" t="s">
        <v>149</v>
      </c>
      <c r="I26" s="485" t="s">
        <v>1023</v>
      </c>
      <c r="J26" s="486" t="s">
        <v>1018</v>
      </c>
    </row>
    <row r="27" customFormat="false" ht="23.85" hidden="false" customHeight="false" outlineLevel="0" collapsed="false">
      <c r="A27" s="483" t="s">
        <v>925</v>
      </c>
      <c r="B27" s="490" t="s">
        <v>926</v>
      </c>
      <c r="C27" s="491" t="n">
        <v>2</v>
      </c>
      <c r="D27" s="484" t="s">
        <v>75</v>
      </c>
      <c r="E27" s="88" t="s">
        <v>1024</v>
      </c>
      <c r="F27" s="485" t="s">
        <v>1025</v>
      </c>
      <c r="G27" s="483" t="s">
        <v>928</v>
      </c>
      <c r="H27" s="492" t="s">
        <v>1026</v>
      </c>
      <c r="I27" s="485" t="s">
        <v>1027</v>
      </c>
      <c r="J27" s="486" t="s">
        <v>1028</v>
      </c>
    </row>
    <row r="28" customFormat="false" ht="12.9" hidden="false" customHeight="false" outlineLevel="0" collapsed="false">
      <c r="A28" s="483" t="s">
        <v>925</v>
      </c>
      <c r="B28" s="490" t="s">
        <v>926</v>
      </c>
      <c r="C28" s="491" t="n">
        <v>2</v>
      </c>
      <c r="D28" s="484" t="s">
        <v>75</v>
      </c>
      <c r="E28" s="88" t="s">
        <v>1029</v>
      </c>
      <c r="F28" s="485" t="s">
        <v>1025</v>
      </c>
      <c r="G28" s="483" t="s">
        <v>928</v>
      </c>
      <c r="H28" s="486" t="s">
        <v>1030</v>
      </c>
      <c r="I28" s="495" t="s">
        <v>1031</v>
      </c>
      <c r="J28" s="486" t="s">
        <v>1028</v>
      </c>
    </row>
    <row r="29" customFormat="false" ht="12.9" hidden="false" customHeight="false" outlineLevel="0" collapsed="false">
      <c r="A29" s="483" t="s">
        <v>925</v>
      </c>
      <c r="B29" s="490" t="s">
        <v>926</v>
      </c>
      <c r="C29" s="491" t="n">
        <v>4</v>
      </c>
      <c r="D29" s="484" t="s">
        <v>75</v>
      </c>
      <c r="E29" s="496" t="s">
        <v>1032</v>
      </c>
      <c r="F29" s="485" t="s">
        <v>1025</v>
      </c>
      <c r="G29" s="483" t="s">
        <v>928</v>
      </c>
      <c r="H29" s="492" t="s">
        <v>1033</v>
      </c>
      <c r="I29" s="495" t="s">
        <v>1034</v>
      </c>
      <c r="J29" s="486" t="s">
        <v>1028</v>
      </c>
    </row>
    <row r="30" s="504" customFormat="true" ht="12.8" hidden="false" customHeight="false" outlineLevel="0" collapsed="false">
      <c r="A30" s="497"/>
      <c r="B30" s="498"/>
      <c r="C30" s="499"/>
      <c r="D30" s="499"/>
      <c r="E30" s="500"/>
      <c r="F30" s="501"/>
      <c r="G30" s="497"/>
      <c r="H30" s="502"/>
      <c r="I30" s="501"/>
      <c r="J30" s="503"/>
      <c r="K30" s="497"/>
      <c r="L30" s="497"/>
      <c r="M30" s="497"/>
      <c r="N30" s="497"/>
      <c r="O30" s="497"/>
      <c r="P30" s="497"/>
      <c r="Q30" s="497"/>
      <c r="R30" s="497"/>
      <c r="S30" s="497"/>
      <c r="T30" s="497"/>
      <c r="U30" s="497"/>
      <c r="V30" s="497"/>
      <c r="W30" s="497"/>
      <c r="X30" s="497"/>
      <c r="Y30" s="497"/>
      <c r="Z30" s="497"/>
      <c r="AA30" s="497"/>
      <c r="AB30" s="497"/>
      <c r="AC30" s="497"/>
      <c r="AD30" s="497"/>
      <c r="AE30" s="497"/>
      <c r="AF30" s="497"/>
      <c r="AG30" s="497"/>
      <c r="AH30" s="497"/>
      <c r="AI30" s="497"/>
      <c r="AJ30" s="497"/>
      <c r="AK30" s="497"/>
      <c r="AL30" s="497"/>
      <c r="AM30" s="497"/>
      <c r="AN30" s="497"/>
      <c r="AO30" s="497"/>
      <c r="AP30" s="497"/>
      <c r="AQ30" s="497"/>
      <c r="AR30" s="497"/>
      <c r="AS30" s="497"/>
      <c r="AT30" s="497"/>
      <c r="AU30" s="497"/>
      <c r="AV30" s="497"/>
      <c r="AW30" s="497"/>
      <c r="AX30" s="497"/>
      <c r="AY30" s="497"/>
      <c r="AZ30" s="497"/>
      <c r="BA30" s="497"/>
      <c r="BB30" s="497"/>
      <c r="BC30" s="497"/>
      <c r="BD30" s="497"/>
      <c r="BE30" s="497"/>
      <c r="BF30" s="497"/>
      <c r="BG30" s="497"/>
      <c r="BH30" s="497"/>
      <c r="BI30" s="497"/>
      <c r="BJ30" s="497"/>
      <c r="BK30" s="497"/>
      <c r="BL30" s="497"/>
      <c r="AMG30" s="497"/>
      <c r="AMH30" s="497"/>
      <c r="AMI30" s="497"/>
      <c r="AMJ30" s="497"/>
    </row>
    <row r="31" customFormat="false" ht="12.8" hidden="false" customHeight="false" outlineLevel="0" collapsed="false">
      <c r="A31" s="483" t="s">
        <v>1035</v>
      </c>
      <c r="B31" s="490" t="s">
        <v>1036</v>
      </c>
      <c r="C31" s="491" t="n">
        <v>8</v>
      </c>
      <c r="D31" s="491" t="s">
        <v>75</v>
      </c>
      <c r="E31" s="88" t="s">
        <v>1037</v>
      </c>
      <c r="F31" s="485" t="s">
        <v>1038</v>
      </c>
      <c r="G31" s="483" t="s">
        <v>928</v>
      </c>
      <c r="H31" s="492" t="s">
        <v>1039</v>
      </c>
      <c r="I31" s="485" t="s">
        <v>1040</v>
      </c>
      <c r="J31" s="486" t="s">
        <v>1041</v>
      </c>
    </row>
    <row r="32" customFormat="false" ht="12.9" hidden="false" customHeight="false" outlineLevel="0" collapsed="false">
      <c r="A32" s="483" t="s">
        <v>1035</v>
      </c>
      <c r="B32" s="490" t="s">
        <v>1036</v>
      </c>
      <c r="C32" s="491" t="n">
        <v>8</v>
      </c>
      <c r="D32" s="491" t="s">
        <v>75</v>
      </c>
      <c r="E32" s="88" t="s">
        <v>1042</v>
      </c>
      <c r="F32" s="485" t="s">
        <v>1043</v>
      </c>
      <c r="G32" s="483" t="s">
        <v>928</v>
      </c>
      <c r="H32" s="492" t="s">
        <v>1044</v>
      </c>
      <c r="I32" s="485" t="s">
        <v>1045</v>
      </c>
      <c r="J32" s="486" t="s">
        <v>1041</v>
      </c>
    </row>
    <row r="33" customFormat="false" ht="24.85" hidden="false" customHeight="false" outlineLevel="0" collapsed="false">
      <c r="A33" s="483" t="s">
        <v>1035</v>
      </c>
      <c r="B33" s="490" t="s">
        <v>1036</v>
      </c>
      <c r="C33" s="491" t="n">
        <v>8</v>
      </c>
      <c r="D33" s="491" t="s">
        <v>75</v>
      </c>
      <c r="E33" s="88" t="n">
        <v>7.5</v>
      </c>
      <c r="F33" s="485" t="s">
        <v>933</v>
      </c>
      <c r="G33" s="483" t="s">
        <v>928</v>
      </c>
      <c r="H33" s="492" t="s">
        <v>1046</v>
      </c>
      <c r="I33" s="485" t="s">
        <v>1047</v>
      </c>
      <c r="J33" s="486" t="s">
        <v>1048</v>
      </c>
    </row>
    <row r="34" customFormat="false" ht="35.8" hidden="false" customHeight="false" outlineLevel="0" collapsed="false">
      <c r="A34" s="483" t="s">
        <v>1035</v>
      </c>
      <c r="B34" s="490" t="s">
        <v>1036</v>
      </c>
      <c r="C34" s="491" t="n">
        <v>8</v>
      </c>
      <c r="D34" s="491" t="s">
        <v>75</v>
      </c>
      <c r="E34" s="88" t="n">
        <v>0.02</v>
      </c>
      <c r="F34" s="485" t="s">
        <v>927</v>
      </c>
      <c r="G34" s="483" t="s">
        <v>928</v>
      </c>
      <c r="H34" s="492" t="s">
        <v>1049</v>
      </c>
      <c r="I34" s="485" t="s">
        <v>1050</v>
      </c>
      <c r="J34" s="486" t="s">
        <v>1051</v>
      </c>
    </row>
    <row r="35" customFormat="false" ht="12.9" hidden="false" customHeight="false" outlineLevel="0" collapsed="false">
      <c r="A35" s="483" t="s">
        <v>1035</v>
      </c>
      <c r="B35" s="490" t="s">
        <v>1036</v>
      </c>
      <c r="C35" s="491" t="n">
        <v>1</v>
      </c>
      <c r="D35" s="491" t="s">
        <v>75</v>
      </c>
      <c r="E35" s="88" t="s">
        <v>1052</v>
      </c>
      <c r="F35" s="485" t="s">
        <v>1053</v>
      </c>
      <c r="G35" s="483" t="s">
        <v>928</v>
      </c>
      <c r="H35" s="492" t="s">
        <v>1054</v>
      </c>
      <c r="I35" s="485" t="s">
        <v>1055</v>
      </c>
      <c r="J35" s="486" t="s">
        <v>1056</v>
      </c>
    </row>
    <row r="36" customFormat="false" ht="24.85" hidden="false" customHeight="false" outlineLevel="0" collapsed="false">
      <c r="A36" s="483" t="s">
        <v>1035</v>
      </c>
      <c r="B36" s="490" t="s">
        <v>1036</v>
      </c>
      <c r="C36" s="491" t="n">
        <v>1</v>
      </c>
      <c r="D36" s="491" t="s">
        <v>75</v>
      </c>
      <c r="E36" s="88" t="s">
        <v>1057</v>
      </c>
      <c r="G36" s="483" t="s">
        <v>928</v>
      </c>
      <c r="H36" s="492" t="s">
        <v>1058</v>
      </c>
      <c r="I36" s="485" t="s">
        <v>1059</v>
      </c>
      <c r="J36" s="486" t="s">
        <v>1060</v>
      </c>
    </row>
    <row r="37" customFormat="false" ht="12.9" hidden="false" customHeight="false" outlineLevel="0" collapsed="false">
      <c r="A37" s="483" t="s">
        <v>1035</v>
      </c>
      <c r="B37" s="490" t="s">
        <v>1036</v>
      </c>
      <c r="C37" s="491" t="n">
        <v>1</v>
      </c>
      <c r="D37" s="491" t="s">
        <v>75</v>
      </c>
      <c r="E37" s="88" t="s">
        <v>941</v>
      </c>
      <c r="F37" s="485" t="s">
        <v>933</v>
      </c>
      <c r="G37" s="483" t="s">
        <v>928</v>
      </c>
      <c r="H37" s="492" t="s">
        <v>1061</v>
      </c>
      <c r="I37" s="485" t="s">
        <v>1062</v>
      </c>
      <c r="J37" s="486" t="s">
        <v>1063</v>
      </c>
    </row>
    <row r="38" customFormat="false" ht="24.85" hidden="false" customHeight="false" outlineLevel="0" collapsed="false">
      <c r="A38" s="483" t="s">
        <v>1035</v>
      </c>
      <c r="B38" s="490" t="s">
        <v>1036</v>
      </c>
      <c r="C38" s="491" t="n">
        <v>4</v>
      </c>
      <c r="D38" s="484" t="s">
        <v>75</v>
      </c>
      <c r="E38" s="88" t="s">
        <v>1064</v>
      </c>
      <c r="F38" s="485" t="s">
        <v>933</v>
      </c>
      <c r="G38" s="483" t="s">
        <v>928</v>
      </c>
      <c r="H38" s="492" t="s">
        <v>1065</v>
      </c>
      <c r="I38" s="485" t="s">
        <v>1066</v>
      </c>
      <c r="J38" s="486" t="s">
        <v>1067</v>
      </c>
    </row>
    <row r="39" customFormat="false" ht="24.85" hidden="false" customHeight="false" outlineLevel="0" collapsed="false">
      <c r="A39" s="483" t="s">
        <v>1035</v>
      </c>
      <c r="B39" s="490" t="s">
        <v>1036</v>
      </c>
      <c r="C39" s="491" t="n">
        <v>4</v>
      </c>
      <c r="D39" s="491" t="s">
        <v>75</v>
      </c>
      <c r="E39" s="88" t="s">
        <v>1068</v>
      </c>
      <c r="F39" s="485" t="s">
        <v>933</v>
      </c>
      <c r="G39" s="483" t="s">
        <v>928</v>
      </c>
      <c r="H39" s="492" t="s">
        <v>1069</v>
      </c>
      <c r="I39" s="485" t="s">
        <v>1070</v>
      </c>
      <c r="J39" s="486" t="s">
        <v>1067</v>
      </c>
    </row>
    <row r="40" customFormat="false" ht="24.85" hidden="false" customHeight="false" outlineLevel="0" collapsed="false">
      <c r="A40" s="483" t="s">
        <v>1035</v>
      </c>
      <c r="B40" s="490" t="s">
        <v>1036</v>
      </c>
      <c r="C40" s="491" t="n">
        <v>4</v>
      </c>
      <c r="D40" s="491" t="s">
        <v>75</v>
      </c>
      <c r="E40" s="88" t="s">
        <v>1071</v>
      </c>
      <c r="F40" s="485" t="s">
        <v>949</v>
      </c>
      <c r="G40" s="483" t="s">
        <v>928</v>
      </c>
      <c r="H40" s="492" t="s">
        <v>1072</v>
      </c>
      <c r="I40" s="485" t="s">
        <v>1073</v>
      </c>
      <c r="J40" s="486" t="s">
        <v>1074</v>
      </c>
    </row>
    <row r="41" customFormat="false" ht="24.85" hidden="false" customHeight="false" outlineLevel="0" collapsed="false">
      <c r="A41" s="483" t="s">
        <v>1035</v>
      </c>
      <c r="B41" s="490" t="s">
        <v>1036</v>
      </c>
      <c r="C41" s="491" t="n">
        <v>4</v>
      </c>
      <c r="D41" s="491" t="s">
        <v>300</v>
      </c>
      <c r="E41" s="88" t="s">
        <v>1075</v>
      </c>
      <c r="F41" s="485" t="s">
        <v>1076</v>
      </c>
      <c r="G41" s="483" t="s">
        <v>928</v>
      </c>
      <c r="H41" s="492" t="s">
        <v>1077</v>
      </c>
      <c r="I41" s="485" t="s">
        <v>1078</v>
      </c>
      <c r="J41" s="486" t="s">
        <v>1079</v>
      </c>
    </row>
    <row r="42" customFormat="false" ht="24.85" hidden="false" customHeight="false" outlineLevel="0" collapsed="false">
      <c r="A42" s="483" t="s">
        <v>1035</v>
      </c>
      <c r="B42" s="490" t="s">
        <v>1036</v>
      </c>
      <c r="C42" s="491" t="n">
        <v>4</v>
      </c>
      <c r="D42" s="491" t="s">
        <v>300</v>
      </c>
      <c r="E42" s="88" t="s">
        <v>1080</v>
      </c>
      <c r="F42" s="485" t="s">
        <v>1076</v>
      </c>
      <c r="G42" s="483" t="s">
        <v>928</v>
      </c>
      <c r="H42" s="492" t="s">
        <v>1081</v>
      </c>
      <c r="I42" s="485" t="s">
        <v>1078</v>
      </c>
      <c r="J42" s="486" t="s">
        <v>1082</v>
      </c>
    </row>
    <row r="43" customFormat="false" ht="23.85" hidden="false" customHeight="false" outlineLevel="0" collapsed="false">
      <c r="A43" s="483" t="s">
        <v>1035</v>
      </c>
      <c r="B43" s="490" t="s">
        <v>1036</v>
      </c>
      <c r="C43" s="491" t="n">
        <v>4</v>
      </c>
      <c r="D43" s="491" t="s">
        <v>75</v>
      </c>
      <c r="E43" s="88" t="s">
        <v>1083</v>
      </c>
      <c r="F43" s="485" t="s">
        <v>1084</v>
      </c>
      <c r="G43" s="483" t="s">
        <v>928</v>
      </c>
      <c r="H43" s="492" t="s">
        <v>1085</v>
      </c>
      <c r="I43" s="485" t="s">
        <v>1086</v>
      </c>
      <c r="J43" s="486" t="s">
        <v>1087</v>
      </c>
    </row>
    <row r="44" customFormat="false" ht="12.9" hidden="false" customHeight="false" outlineLevel="0" collapsed="false">
      <c r="A44" s="483" t="s">
        <v>1035</v>
      </c>
      <c r="B44" s="490" t="s">
        <v>1036</v>
      </c>
      <c r="C44" s="491" t="n">
        <v>8</v>
      </c>
      <c r="D44" s="491" t="s">
        <v>75</v>
      </c>
      <c r="E44" s="88" t="s">
        <v>1088</v>
      </c>
      <c r="F44" s="485" t="s">
        <v>1089</v>
      </c>
      <c r="G44" s="483" t="s">
        <v>928</v>
      </c>
      <c r="H44" s="492" t="s">
        <v>1090</v>
      </c>
      <c r="I44" s="485" t="s">
        <v>1091</v>
      </c>
      <c r="J44" s="486" t="s">
        <v>1092</v>
      </c>
    </row>
    <row r="45" customFormat="false" ht="24.85" hidden="false" customHeight="false" outlineLevel="0" collapsed="false">
      <c r="A45" s="483" t="s">
        <v>1035</v>
      </c>
      <c r="B45" s="490" t="s">
        <v>1036</v>
      </c>
      <c r="C45" s="491" t="n">
        <v>4</v>
      </c>
      <c r="D45" s="491" t="s">
        <v>75</v>
      </c>
      <c r="E45" s="88" t="s">
        <v>1093</v>
      </c>
      <c r="F45" s="485" t="s">
        <v>1094</v>
      </c>
      <c r="G45" s="483" t="s">
        <v>928</v>
      </c>
      <c r="H45" s="492" t="s">
        <v>1095</v>
      </c>
      <c r="I45" s="485" t="s">
        <v>1096</v>
      </c>
      <c r="J45" s="486" t="s">
        <v>1097</v>
      </c>
    </row>
    <row r="46" customFormat="false" ht="24.85" hidden="false" customHeight="false" outlineLevel="0" collapsed="false">
      <c r="A46" s="483" t="s">
        <v>1035</v>
      </c>
      <c r="B46" s="490" t="s">
        <v>1036</v>
      </c>
      <c r="C46" s="491" t="n">
        <v>4</v>
      </c>
      <c r="D46" s="491" t="s">
        <v>75</v>
      </c>
      <c r="E46" s="88" t="s">
        <v>1064</v>
      </c>
      <c r="F46" s="485" t="s">
        <v>933</v>
      </c>
      <c r="G46" s="483" t="s">
        <v>928</v>
      </c>
      <c r="H46" s="492" t="s">
        <v>1098</v>
      </c>
      <c r="I46" s="485" t="s">
        <v>1099</v>
      </c>
      <c r="J46" s="486" t="s">
        <v>1100</v>
      </c>
    </row>
    <row r="47" customFormat="false" ht="12.9" hidden="false" customHeight="false" outlineLevel="0" collapsed="false">
      <c r="A47" s="483" t="s">
        <v>1035</v>
      </c>
      <c r="B47" s="490" t="s">
        <v>1036</v>
      </c>
      <c r="C47" s="491" t="n">
        <v>8</v>
      </c>
      <c r="D47" s="491" t="s">
        <v>75</v>
      </c>
      <c r="E47" s="88" t="s">
        <v>1101</v>
      </c>
      <c r="F47" s="485" t="s">
        <v>933</v>
      </c>
      <c r="G47" s="483" t="s">
        <v>928</v>
      </c>
      <c r="H47" s="492" t="s">
        <v>1102</v>
      </c>
      <c r="I47" s="485" t="s">
        <v>1103</v>
      </c>
      <c r="J47" s="486" t="s">
        <v>1104</v>
      </c>
    </row>
    <row r="48" customFormat="false" ht="24.85" hidden="false" customHeight="false" outlineLevel="0" collapsed="false">
      <c r="A48" s="483" t="s">
        <v>1035</v>
      </c>
      <c r="B48" s="490" t="s">
        <v>1036</v>
      </c>
      <c r="C48" s="491" t="n">
        <v>8</v>
      </c>
      <c r="D48" s="491" t="s">
        <v>75</v>
      </c>
      <c r="E48" s="88" t="n">
        <v>4.99</v>
      </c>
      <c r="F48" s="485" t="s">
        <v>933</v>
      </c>
      <c r="G48" s="483" t="s">
        <v>928</v>
      </c>
      <c r="H48" s="492" t="s">
        <v>1105</v>
      </c>
      <c r="I48" s="485" t="s">
        <v>1106</v>
      </c>
      <c r="J48" s="486" t="s">
        <v>1104</v>
      </c>
    </row>
    <row r="49" customFormat="false" ht="24.85" hidden="false" customHeight="false" outlineLevel="0" collapsed="false">
      <c r="A49" s="483" t="s">
        <v>1035</v>
      </c>
      <c r="B49" s="490" t="s">
        <v>1036</v>
      </c>
      <c r="C49" s="491" t="n">
        <v>16</v>
      </c>
      <c r="D49" s="491" t="s">
        <v>75</v>
      </c>
      <c r="E49" s="88" t="s">
        <v>1057</v>
      </c>
      <c r="G49" s="483" t="s">
        <v>928</v>
      </c>
      <c r="H49" s="492" t="s">
        <v>1058</v>
      </c>
      <c r="I49" s="485" t="s">
        <v>1059</v>
      </c>
      <c r="J49" s="486" t="s">
        <v>1107</v>
      </c>
    </row>
    <row r="50" customFormat="false" ht="24.85" hidden="false" customHeight="false" outlineLevel="0" collapsed="false">
      <c r="A50" s="483" t="s">
        <v>1035</v>
      </c>
      <c r="B50" s="490" t="s">
        <v>1036</v>
      </c>
      <c r="C50" s="491" t="n">
        <v>16</v>
      </c>
      <c r="D50" s="491" t="s">
        <v>75</v>
      </c>
      <c r="E50" s="88" t="s">
        <v>953</v>
      </c>
      <c r="F50" s="485" t="s">
        <v>1094</v>
      </c>
      <c r="G50" s="483" t="s">
        <v>928</v>
      </c>
      <c r="H50" s="492" t="s">
        <v>1108</v>
      </c>
      <c r="I50" s="485" t="s">
        <v>1109</v>
      </c>
      <c r="J50" s="486" t="s">
        <v>1110</v>
      </c>
    </row>
    <row r="51" customFormat="false" ht="12.9" hidden="false" customHeight="false" outlineLevel="0" collapsed="false">
      <c r="A51" s="483" t="s">
        <v>1035</v>
      </c>
      <c r="B51" s="490" t="s">
        <v>1036</v>
      </c>
      <c r="C51" s="491" t="n">
        <v>8</v>
      </c>
      <c r="D51" s="491" t="s">
        <v>75</v>
      </c>
      <c r="E51" s="88" t="s">
        <v>995</v>
      </c>
      <c r="F51" s="485" t="s">
        <v>996</v>
      </c>
      <c r="G51" s="483" t="s">
        <v>928</v>
      </c>
      <c r="H51" s="494" t="s">
        <v>997</v>
      </c>
      <c r="I51" s="486" t="s">
        <v>998</v>
      </c>
      <c r="J51" s="486" t="s">
        <v>1111</v>
      </c>
    </row>
    <row r="52" customFormat="false" ht="24.85" hidden="false" customHeight="false" outlineLevel="0" collapsed="false">
      <c r="A52" s="483" t="s">
        <v>1035</v>
      </c>
      <c r="B52" s="490" t="s">
        <v>1036</v>
      </c>
      <c r="C52" s="491" t="n">
        <v>1</v>
      </c>
      <c r="D52" s="491" t="s">
        <v>75</v>
      </c>
      <c r="E52" s="88" t="s">
        <v>953</v>
      </c>
      <c r="F52" s="485" t="s">
        <v>933</v>
      </c>
      <c r="G52" s="483" t="s">
        <v>928</v>
      </c>
      <c r="H52" s="492" t="s">
        <v>954</v>
      </c>
      <c r="I52" s="485" t="s">
        <v>955</v>
      </c>
      <c r="J52" s="486" t="s">
        <v>1112</v>
      </c>
    </row>
    <row r="53" customFormat="false" ht="24.85" hidden="false" customHeight="false" outlineLevel="0" collapsed="false">
      <c r="A53" s="483" t="s">
        <v>1035</v>
      </c>
      <c r="B53" s="490" t="s">
        <v>1036</v>
      </c>
      <c r="C53" s="491" t="n">
        <v>8</v>
      </c>
      <c r="D53" s="491" t="s">
        <v>75</v>
      </c>
      <c r="E53" s="88" t="s">
        <v>953</v>
      </c>
      <c r="F53" s="485" t="s">
        <v>933</v>
      </c>
      <c r="G53" s="483" t="s">
        <v>928</v>
      </c>
      <c r="H53" s="492" t="s">
        <v>954</v>
      </c>
      <c r="I53" s="485" t="s">
        <v>1070</v>
      </c>
      <c r="J53" s="486" t="s">
        <v>1113</v>
      </c>
    </row>
    <row r="54" customFormat="false" ht="23.85" hidden="false" customHeight="false" outlineLevel="0" collapsed="false">
      <c r="A54" s="483" t="s">
        <v>1035</v>
      </c>
      <c r="B54" s="490" t="s">
        <v>1036</v>
      </c>
      <c r="C54" s="491" t="n">
        <v>4</v>
      </c>
      <c r="D54" s="491" t="s">
        <v>75</v>
      </c>
      <c r="E54" s="88" t="s">
        <v>953</v>
      </c>
      <c r="F54" s="485" t="s">
        <v>933</v>
      </c>
      <c r="G54" s="483" t="s">
        <v>928</v>
      </c>
      <c r="H54" s="492" t="s">
        <v>954</v>
      </c>
      <c r="I54" s="485" t="s">
        <v>1070</v>
      </c>
      <c r="J54" s="486" t="s">
        <v>1114</v>
      </c>
    </row>
    <row r="55" customFormat="false" ht="12.9" hidden="false" customHeight="false" outlineLevel="0" collapsed="false">
      <c r="A55" s="483" t="s">
        <v>1035</v>
      </c>
      <c r="B55" s="490" t="s">
        <v>1036</v>
      </c>
      <c r="C55" s="491" t="n">
        <v>4</v>
      </c>
      <c r="D55" s="491" t="s">
        <v>75</v>
      </c>
      <c r="E55" s="88" t="n">
        <v>499</v>
      </c>
      <c r="F55" s="485" t="s">
        <v>933</v>
      </c>
      <c r="G55" s="483" t="s">
        <v>928</v>
      </c>
      <c r="H55" s="492" t="s">
        <v>1115</v>
      </c>
      <c r="I55" s="485" t="s">
        <v>1116</v>
      </c>
      <c r="J55" s="486" t="s">
        <v>1117</v>
      </c>
    </row>
    <row r="56" customFormat="false" ht="12.9" hidden="false" customHeight="false" outlineLevel="0" collapsed="false">
      <c r="A56" s="483" t="s">
        <v>1035</v>
      </c>
      <c r="B56" s="490" t="s">
        <v>1036</v>
      </c>
      <c r="C56" s="491" t="n">
        <v>1</v>
      </c>
      <c r="D56" s="491" t="s">
        <v>75</v>
      </c>
      <c r="E56" s="88" t="s">
        <v>1118</v>
      </c>
      <c r="F56" s="485" t="s">
        <v>949</v>
      </c>
      <c r="G56" s="483" t="s">
        <v>928</v>
      </c>
      <c r="H56" s="492" t="s">
        <v>1119</v>
      </c>
      <c r="I56" s="485" t="s">
        <v>1120</v>
      </c>
      <c r="J56" s="486" t="s">
        <v>1121</v>
      </c>
    </row>
    <row r="57" customFormat="false" ht="24.85" hidden="false" customHeight="false" outlineLevel="0" collapsed="false">
      <c r="A57" s="483" t="s">
        <v>1035</v>
      </c>
      <c r="B57" s="490" t="s">
        <v>1036</v>
      </c>
      <c r="C57" s="491" t="n">
        <v>4</v>
      </c>
      <c r="D57" s="491" t="s">
        <v>75</v>
      </c>
      <c r="E57" s="88" t="s">
        <v>1122</v>
      </c>
      <c r="F57" s="485" t="s">
        <v>933</v>
      </c>
      <c r="G57" s="483" t="s">
        <v>928</v>
      </c>
      <c r="H57" s="492" t="s">
        <v>1123</v>
      </c>
      <c r="I57" s="485" t="s">
        <v>1124</v>
      </c>
      <c r="J57" s="486" t="s">
        <v>1125</v>
      </c>
    </row>
    <row r="58" customFormat="false" ht="12.9" hidden="false" customHeight="false" outlineLevel="0" collapsed="false">
      <c r="A58" s="483" t="s">
        <v>1035</v>
      </c>
      <c r="B58" s="490" t="s">
        <v>1036</v>
      </c>
      <c r="C58" s="491" t="n">
        <v>1</v>
      </c>
      <c r="D58" s="491" t="s">
        <v>75</v>
      </c>
      <c r="E58" s="88" t="s">
        <v>953</v>
      </c>
      <c r="F58" s="485" t="s">
        <v>933</v>
      </c>
      <c r="G58" s="483" t="s">
        <v>928</v>
      </c>
      <c r="H58" s="492" t="s">
        <v>954</v>
      </c>
      <c r="I58" s="485" t="s">
        <v>955</v>
      </c>
      <c r="J58" s="486" t="s">
        <v>1126</v>
      </c>
    </row>
    <row r="59" customFormat="false" ht="24.85" hidden="false" customHeight="false" outlineLevel="0" collapsed="false">
      <c r="A59" s="483" t="s">
        <v>1035</v>
      </c>
      <c r="B59" s="490" t="s">
        <v>1036</v>
      </c>
      <c r="C59" s="491" t="n">
        <v>1</v>
      </c>
      <c r="D59" s="491" t="s">
        <v>75</v>
      </c>
      <c r="E59" s="88" t="s">
        <v>1093</v>
      </c>
      <c r="F59" s="485" t="s">
        <v>1094</v>
      </c>
      <c r="G59" s="483" t="s">
        <v>928</v>
      </c>
      <c r="H59" s="492" t="s">
        <v>1095</v>
      </c>
      <c r="I59" s="485" t="s">
        <v>1096</v>
      </c>
      <c r="J59" s="486" t="s">
        <v>1127</v>
      </c>
    </row>
    <row r="60" customFormat="false" ht="24.85" hidden="false" customHeight="false" outlineLevel="0" collapsed="false">
      <c r="A60" s="483" t="s">
        <v>1035</v>
      </c>
      <c r="B60" s="490" t="s">
        <v>1036</v>
      </c>
      <c r="C60" s="491" t="n">
        <v>1</v>
      </c>
      <c r="D60" s="491" t="s">
        <v>75</v>
      </c>
      <c r="E60" s="88" t="s">
        <v>1064</v>
      </c>
      <c r="F60" s="485" t="s">
        <v>933</v>
      </c>
      <c r="G60" s="483" t="s">
        <v>928</v>
      </c>
      <c r="H60" s="492" t="s">
        <v>1098</v>
      </c>
      <c r="I60" s="485" t="s">
        <v>1099</v>
      </c>
      <c r="J60" s="486" t="s">
        <v>1128</v>
      </c>
    </row>
    <row r="61" customFormat="false" ht="12.9" hidden="false" customHeight="false" outlineLevel="0" collapsed="false">
      <c r="A61" s="483" t="s">
        <v>1035</v>
      </c>
      <c r="B61" s="490" t="s">
        <v>1036</v>
      </c>
      <c r="C61" s="491" t="n">
        <v>1</v>
      </c>
      <c r="D61" s="491" t="s">
        <v>75</v>
      </c>
      <c r="E61" s="88" t="s">
        <v>1129</v>
      </c>
      <c r="F61" s="485" t="s">
        <v>933</v>
      </c>
      <c r="G61" s="483" t="s">
        <v>928</v>
      </c>
      <c r="H61" s="492" t="s">
        <v>1130</v>
      </c>
      <c r="I61" s="485" t="s">
        <v>1131</v>
      </c>
      <c r="J61" s="486" t="s">
        <v>1132</v>
      </c>
    </row>
    <row r="62" customFormat="false" ht="12.9" hidden="false" customHeight="false" outlineLevel="0" collapsed="false">
      <c r="A62" s="483" t="s">
        <v>1035</v>
      </c>
      <c r="B62" s="490" t="s">
        <v>1036</v>
      </c>
      <c r="C62" s="491" t="n">
        <v>1</v>
      </c>
      <c r="D62" s="484" t="s">
        <v>75</v>
      </c>
      <c r="E62" s="88" t="s">
        <v>1064</v>
      </c>
      <c r="F62" s="485" t="s">
        <v>933</v>
      </c>
      <c r="G62" s="483" t="s">
        <v>928</v>
      </c>
      <c r="H62" s="492" t="s">
        <v>1065</v>
      </c>
      <c r="I62" s="485" t="s">
        <v>1066</v>
      </c>
      <c r="J62" s="486" t="s">
        <v>1133</v>
      </c>
    </row>
    <row r="63" customFormat="false" ht="12.9" hidden="false" customHeight="false" outlineLevel="0" collapsed="false">
      <c r="A63" s="483" t="s">
        <v>1035</v>
      </c>
      <c r="B63" s="490" t="s">
        <v>1036</v>
      </c>
      <c r="C63" s="491" t="n">
        <v>1</v>
      </c>
      <c r="D63" s="491" t="s">
        <v>75</v>
      </c>
      <c r="E63" s="88" t="s">
        <v>1134</v>
      </c>
      <c r="F63" s="485" t="s">
        <v>933</v>
      </c>
      <c r="G63" s="483" t="s">
        <v>928</v>
      </c>
      <c r="H63" s="492" t="s">
        <v>1135</v>
      </c>
      <c r="I63" s="485" t="s">
        <v>1136</v>
      </c>
      <c r="J63" s="486" t="s">
        <v>1133</v>
      </c>
    </row>
    <row r="64" customFormat="false" ht="24.85" hidden="false" customHeight="false" outlineLevel="0" collapsed="false">
      <c r="A64" s="483" t="s">
        <v>1035</v>
      </c>
      <c r="B64" s="490" t="s">
        <v>1036</v>
      </c>
      <c r="C64" s="491" t="n">
        <v>12</v>
      </c>
      <c r="D64" s="491" t="s">
        <v>75</v>
      </c>
      <c r="E64" s="88" t="s">
        <v>1137</v>
      </c>
      <c r="F64" s="485" t="s">
        <v>933</v>
      </c>
      <c r="G64" s="483" t="s">
        <v>928</v>
      </c>
      <c r="H64" s="492" t="s">
        <v>1138</v>
      </c>
      <c r="I64" s="485" t="s">
        <v>1139</v>
      </c>
      <c r="J64" s="486" t="s">
        <v>1140</v>
      </c>
    </row>
    <row r="65" customFormat="false" ht="12.9" hidden="false" customHeight="false" outlineLevel="0" collapsed="false">
      <c r="A65" s="483" t="s">
        <v>1035</v>
      </c>
      <c r="B65" s="490" t="s">
        <v>1036</v>
      </c>
      <c r="C65" s="491" t="n">
        <v>5</v>
      </c>
      <c r="D65" s="491" t="s">
        <v>75</v>
      </c>
      <c r="E65" s="88" t="s">
        <v>1141</v>
      </c>
      <c r="F65" s="485" t="s">
        <v>933</v>
      </c>
      <c r="G65" s="483" t="s">
        <v>928</v>
      </c>
      <c r="H65" s="492" t="s">
        <v>1142</v>
      </c>
      <c r="I65" s="485" t="s">
        <v>1143</v>
      </c>
      <c r="J65" s="486" t="s">
        <v>1144</v>
      </c>
    </row>
    <row r="66" customFormat="false" ht="12.9" hidden="false" customHeight="false" outlineLevel="0" collapsed="false">
      <c r="A66" s="483" t="s">
        <v>1035</v>
      </c>
      <c r="B66" s="490" t="s">
        <v>1036</v>
      </c>
      <c r="C66" s="491" t="n">
        <v>5</v>
      </c>
      <c r="D66" s="491" t="s">
        <v>75</v>
      </c>
      <c r="E66" s="88" t="n">
        <v>49.9</v>
      </c>
      <c r="F66" s="485" t="s">
        <v>933</v>
      </c>
      <c r="G66" s="483" t="s">
        <v>928</v>
      </c>
      <c r="H66" s="492" t="s">
        <v>1145</v>
      </c>
      <c r="I66" s="485" t="s">
        <v>1146</v>
      </c>
      <c r="J66" s="486" t="s">
        <v>1147</v>
      </c>
    </row>
    <row r="67" customFormat="false" ht="12.9" hidden="false" customHeight="false" outlineLevel="0" collapsed="false">
      <c r="A67" s="483" t="s">
        <v>1035</v>
      </c>
      <c r="B67" s="490" t="s">
        <v>1036</v>
      </c>
      <c r="C67" s="491" t="n">
        <v>8</v>
      </c>
      <c r="D67" s="491" t="s">
        <v>75</v>
      </c>
      <c r="E67" s="88" t="s">
        <v>1148</v>
      </c>
      <c r="F67" s="485" t="s">
        <v>933</v>
      </c>
      <c r="G67" s="483" t="s">
        <v>928</v>
      </c>
      <c r="H67" s="492" t="s">
        <v>1149</v>
      </c>
      <c r="I67" s="485" t="s">
        <v>1150</v>
      </c>
      <c r="J67" s="486" t="s">
        <v>1151</v>
      </c>
    </row>
    <row r="68" customFormat="false" ht="12.9" hidden="false" customHeight="false" outlineLevel="0" collapsed="false">
      <c r="A68" s="483" t="s">
        <v>1035</v>
      </c>
      <c r="B68" s="490" t="s">
        <v>1036</v>
      </c>
      <c r="C68" s="491" t="n">
        <v>8</v>
      </c>
      <c r="D68" s="491" t="s">
        <v>75</v>
      </c>
      <c r="E68" s="88" t="s">
        <v>1122</v>
      </c>
      <c r="F68" s="485" t="s">
        <v>933</v>
      </c>
      <c r="G68" s="483" t="s">
        <v>928</v>
      </c>
      <c r="H68" s="492" t="s">
        <v>1152</v>
      </c>
      <c r="I68" s="485" t="s">
        <v>1153</v>
      </c>
      <c r="J68" s="486" t="s">
        <v>1154</v>
      </c>
    </row>
    <row r="69" customFormat="false" ht="12.9" hidden="false" customHeight="false" outlineLevel="0" collapsed="false">
      <c r="A69" s="483" t="s">
        <v>1035</v>
      </c>
      <c r="B69" s="490" t="s">
        <v>1036</v>
      </c>
      <c r="C69" s="491" t="n">
        <v>4</v>
      </c>
      <c r="D69" s="491" t="s">
        <v>75</v>
      </c>
      <c r="E69" s="88" t="s">
        <v>1155</v>
      </c>
      <c r="F69" s="485" t="s">
        <v>933</v>
      </c>
      <c r="G69" s="483" t="s">
        <v>928</v>
      </c>
      <c r="H69" s="492" t="s">
        <v>1156</v>
      </c>
      <c r="I69" s="485" t="s">
        <v>1157</v>
      </c>
      <c r="J69" s="486" t="s">
        <v>1158</v>
      </c>
    </row>
    <row r="70" customFormat="false" ht="23.85" hidden="false" customHeight="false" outlineLevel="0" collapsed="false">
      <c r="A70" s="483" t="s">
        <v>1035</v>
      </c>
      <c r="B70" s="490" t="s">
        <v>1036</v>
      </c>
      <c r="C70" s="491" t="n">
        <v>4</v>
      </c>
      <c r="D70" s="491" t="s">
        <v>75</v>
      </c>
      <c r="E70" s="88" t="s">
        <v>1159</v>
      </c>
      <c r="F70" s="485" t="s">
        <v>1160</v>
      </c>
      <c r="G70" s="483" t="s">
        <v>928</v>
      </c>
      <c r="H70" s="492" t="s">
        <v>1161</v>
      </c>
      <c r="I70" s="485" t="s">
        <v>1162</v>
      </c>
      <c r="J70" s="486" t="s">
        <v>1163</v>
      </c>
    </row>
    <row r="71" customFormat="false" ht="12.9" hidden="false" customHeight="false" outlineLevel="0" collapsed="false">
      <c r="A71" s="483" t="s">
        <v>1035</v>
      </c>
      <c r="B71" s="490" t="s">
        <v>1036</v>
      </c>
      <c r="C71" s="491" t="n">
        <v>8</v>
      </c>
      <c r="D71" s="491" t="s">
        <v>75</v>
      </c>
      <c r="E71" s="88" t="s">
        <v>1068</v>
      </c>
      <c r="F71" s="485" t="s">
        <v>933</v>
      </c>
      <c r="G71" s="483" t="s">
        <v>928</v>
      </c>
      <c r="H71" s="492" t="s">
        <v>1069</v>
      </c>
      <c r="I71" s="485" t="s">
        <v>1070</v>
      </c>
      <c r="J71" s="486" t="s">
        <v>1164</v>
      </c>
    </row>
    <row r="72" customFormat="false" ht="24.85" hidden="false" customHeight="false" outlineLevel="0" collapsed="false">
      <c r="A72" s="483" t="s">
        <v>1035</v>
      </c>
      <c r="B72" s="490" t="s">
        <v>1036</v>
      </c>
      <c r="C72" s="491" t="n">
        <v>4</v>
      </c>
      <c r="D72" s="491" t="s">
        <v>300</v>
      </c>
      <c r="E72" s="88" t="s">
        <v>1165</v>
      </c>
      <c r="F72" s="485" t="s">
        <v>1166</v>
      </c>
      <c r="G72" s="483" t="s">
        <v>928</v>
      </c>
      <c r="H72" s="493" t="s">
        <v>1167</v>
      </c>
      <c r="I72" s="88" t="s">
        <v>1168</v>
      </c>
      <c r="J72" s="486" t="s">
        <v>1169</v>
      </c>
    </row>
    <row r="73" customFormat="false" ht="24.85" hidden="false" customHeight="false" outlineLevel="0" collapsed="false">
      <c r="A73" s="483" t="s">
        <v>1035</v>
      </c>
      <c r="B73" s="490" t="s">
        <v>1036</v>
      </c>
      <c r="C73" s="491" t="n">
        <v>4</v>
      </c>
      <c r="D73" s="491" t="s">
        <v>300</v>
      </c>
      <c r="E73" s="88" t="s">
        <v>1071</v>
      </c>
      <c r="F73" s="485" t="s">
        <v>949</v>
      </c>
      <c r="G73" s="483" t="s">
        <v>928</v>
      </c>
      <c r="H73" s="492" t="s">
        <v>1072</v>
      </c>
      <c r="I73" s="485" t="s">
        <v>1073</v>
      </c>
      <c r="J73" s="486" t="s">
        <v>1170</v>
      </c>
    </row>
    <row r="74" customFormat="false" ht="24.85" hidden="false" customHeight="false" outlineLevel="0" collapsed="false">
      <c r="A74" s="483" t="s">
        <v>1035</v>
      </c>
      <c r="B74" s="490" t="s">
        <v>1036</v>
      </c>
      <c r="C74" s="491" t="n">
        <v>4</v>
      </c>
      <c r="D74" s="491" t="s">
        <v>75</v>
      </c>
      <c r="E74" s="88" t="s">
        <v>1171</v>
      </c>
      <c r="F74" s="485" t="s">
        <v>1084</v>
      </c>
      <c r="G74" s="483" t="s">
        <v>928</v>
      </c>
      <c r="H74" s="492" t="s">
        <v>1172</v>
      </c>
      <c r="I74" s="485" t="s">
        <v>1173</v>
      </c>
      <c r="J74" s="486" t="s">
        <v>1174</v>
      </c>
    </row>
    <row r="75" customFormat="false" ht="24.85" hidden="false" customHeight="false" outlineLevel="0" collapsed="false">
      <c r="A75" s="483" t="s">
        <v>1035</v>
      </c>
      <c r="B75" s="490" t="s">
        <v>1036</v>
      </c>
      <c r="C75" s="491" t="n">
        <v>4</v>
      </c>
      <c r="D75" s="491" t="s">
        <v>300</v>
      </c>
      <c r="E75" s="88" t="s">
        <v>1148</v>
      </c>
      <c r="F75" s="485" t="s">
        <v>933</v>
      </c>
      <c r="G75" s="483" t="s">
        <v>928</v>
      </c>
      <c r="H75" s="492" t="s">
        <v>1175</v>
      </c>
      <c r="I75" s="485" t="s">
        <v>1176</v>
      </c>
      <c r="J75" s="486" t="s">
        <v>1177</v>
      </c>
    </row>
    <row r="76" customFormat="false" ht="24.85" hidden="false" customHeight="false" outlineLevel="0" collapsed="false">
      <c r="A76" s="483" t="s">
        <v>1035</v>
      </c>
      <c r="B76" s="490" t="s">
        <v>1036</v>
      </c>
      <c r="C76" s="491" t="n">
        <v>4</v>
      </c>
      <c r="D76" s="491" t="s">
        <v>75</v>
      </c>
      <c r="E76" s="88" t="s">
        <v>1178</v>
      </c>
      <c r="F76" s="88" t="s">
        <v>1179</v>
      </c>
      <c r="G76" s="483" t="s">
        <v>928</v>
      </c>
      <c r="H76" s="493" t="s">
        <v>1180</v>
      </c>
      <c r="I76" s="88" t="s">
        <v>1181</v>
      </c>
      <c r="J76" s="486" t="s">
        <v>1182</v>
      </c>
    </row>
    <row r="77" customFormat="false" ht="24.85" hidden="false" customHeight="false" outlineLevel="0" collapsed="false">
      <c r="A77" s="483" t="s">
        <v>1035</v>
      </c>
      <c r="B77" s="490" t="s">
        <v>1036</v>
      </c>
      <c r="C77" s="491" t="n">
        <v>4</v>
      </c>
      <c r="D77" s="491" t="s">
        <v>75</v>
      </c>
      <c r="E77" s="88" t="s">
        <v>1129</v>
      </c>
      <c r="F77" s="485" t="s">
        <v>933</v>
      </c>
      <c r="G77" s="483" t="s">
        <v>928</v>
      </c>
      <c r="H77" s="492" t="s">
        <v>1130</v>
      </c>
      <c r="I77" s="485" t="s">
        <v>1131</v>
      </c>
      <c r="J77" s="486" t="s">
        <v>1183</v>
      </c>
    </row>
    <row r="78" customFormat="false" ht="24.85" hidden="false" customHeight="false" outlineLevel="0" collapsed="false">
      <c r="A78" s="483" t="s">
        <v>1035</v>
      </c>
      <c r="B78" s="490" t="s">
        <v>1036</v>
      </c>
      <c r="C78" s="491" t="n">
        <v>4</v>
      </c>
      <c r="D78" s="491" t="s">
        <v>75</v>
      </c>
      <c r="E78" s="88" t="s">
        <v>1122</v>
      </c>
      <c r="F78" s="485" t="s">
        <v>933</v>
      </c>
      <c r="G78" s="483" t="s">
        <v>928</v>
      </c>
      <c r="H78" s="492" t="s">
        <v>1152</v>
      </c>
      <c r="I78" s="485" t="s">
        <v>1153</v>
      </c>
      <c r="J78" s="486" t="s">
        <v>1184</v>
      </c>
    </row>
    <row r="79" customFormat="false" ht="24.85" hidden="false" customHeight="false" outlineLevel="0" collapsed="false">
      <c r="A79" s="483" t="s">
        <v>1035</v>
      </c>
      <c r="B79" s="490" t="s">
        <v>1036</v>
      </c>
      <c r="C79" s="491" t="n">
        <v>4</v>
      </c>
      <c r="D79" s="491" t="s">
        <v>75</v>
      </c>
      <c r="E79" s="88" t="s">
        <v>1068</v>
      </c>
      <c r="F79" s="485" t="s">
        <v>933</v>
      </c>
      <c r="G79" s="483" t="s">
        <v>928</v>
      </c>
      <c r="H79" s="492" t="s">
        <v>1069</v>
      </c>
      <c r="I79" s="485" t="s">
        <v>1070</v>
      </c>
      <c r="J79" s="486" t="s">
        <v>1185</v>
      </c>
    </row>
    <row r="80" customFormat="false" ht="24.85" hidden="false" customHeight="false" outlineLevel="0" collapsed="false">
      <c r="A80" s="483" t="s">
        <v>1035</v>
      </c>
      <c r="B80" s="490" t="s">
        <v>1036</v>
      </c>
      <c r="C80" s="491" t="n">
        <v>4</v>
      </c>
      <c r="D80" s="491" t="s">
        <v>75</v>
      </c>
      <c r="E80" s="88" t="s">
        <v>1129</v>
      </c>
      <c r="F80" s="485" t="s">
        <v>933</v>
      </c>
      <c r="G80" s="483" t="s">
        <v>928</v>
      </c>
      <c r="H80" s="492" t="s">
        <v>1130</v>
      </c>
      <c r="I80" s="485" t="s">
        <v>1131</v>
      </c>
      <c r="J80" s="486" t="s">
        <v>1186</v>
      </c>
    </row>
    <row r="81" customFormat="false" ht="12.9" hidden="false" customHeight="false" outlineLevel="0" collapsed="false">
      <c r="A81" s="483" t="s">
        <v>1035</v>
      </c>
      <c r="B81" s="490" t="s">
        <v>1036</v>
      </c>
      <c r="C81" s="491" t="n">
        <v>4</v>
      </c>
      <c r="D81" s="491" t="s">
        <v>300</v>
      </c>
      <c r="E81" s="88" t="s">
        <v>1187</v>
      </c>
      <c r="F81" s="485" t="s">
        <v>1188</v>
      </c>
      <c r="G81" s="483" t="s">
        <v>928</v>
      </c>
      <c r="H81" s="492" t="s">
        <v>1189</v>
      </c>
      <c r="I81" s="485" t="s">
        <v>1190</v>
      </c>
      <c r="J81" s="486" t="s">
        <v>1191</v>
      </c>
    </row>
    <row r="82" customFormat="false" ht="12.9" hidden="false" customHeight="false" outlineLevel="0" collapsed="false">
      <c r="A82" s="483" t="s">
        <v>1035</v>
      </c>
      <c r="B82" s="490" t="s">
        <v>1036</v>
      </c>
      <c r="C82" s="491" t="n">
        <v>2</v>
      </c>
      <c r="D82" s="491" t="s">
        <v>300</v>
      </c>
      <c r="E82" s="88" t="s">
        <v>1192</v>
      </c>
      <c r="F82" s="485" t="s">
        <v>1193</v>
      </c>
      <c r="G82" s="483" t="s">
        <v>928</v>
      </c>
      <c r="H82" s="492" t="s">
        <v>1194</v>
      </c>
      <c r="I82" s="485" t="s">
        <v>1195</v>
      </c>
      <c r="J82" s="486" t="s">
        <v>1196</v>
      </c>
    </row>
    <row r="83" customFormat="false" ht="24.85" hidden="false" customHeight="false" outlineLevel="0" collapsed="false">
      <c r="A83" s="483" t="s">
        <v>1035</v>
      </c>
      <c r="B83" s="490" t="s">
        <v>1036</v>
      </c>
      <c r="C83" s="491" t="n">
        <v>2</v>
      </c>
      <c r="D83" s="491" t="s">
        <v>300</v>
      </c>
      <c r="E83" s="88" t="s">
        <v>1197</v>
      </c>
      <c r="F83" s="485" t="s">
        <v>1198</v>
      </c>
      <c r="G83" s="483" t="s">
        <v>928</v>
      </c>
      <c r="H83" s="492" t="s">
        <v>1199</v>
      </c>
      <c r="I83" s="485" t="s">
        <v>1200</v>
      </c>
      <c r="J83" s="486" t="s">
        <v>1196</v>
      </c>
    </row>
    <row r="84" customFormat="false" ht="24.85" hidden="false" customHeight="false" outlineLevel="0" collapsed="false">
      <c r="A84" s="483" t="s">
        <v>1035</v>
      </c>
      <c r="B84" s="490" t="s">
        <v>1036</v>
      </c>
      <c r="C84" s="491" t="n">
        <v>2</v>
      </c>
      <c r="D84" s="491" t="s">
        <v>75</v>
      </c>
      <c r="E84" s="88" t="s">
        <v>995</v>
      </c>
      <c r="F84" s="485" t="s">
        <v>996</v>
      </c>
      <c r="G84" s="483" t="s">
        <v>928</v>
      </c>
      <c r="H84" s="494" t="s">
        <v>997</v>
      </c>
      <c r="I84" s="486" t="s">
        <v>998</v>
      </c>
      <c r="J84" s="486" t="s">
        <v>1201</v>
      </c>
    </row>
    <row r="85" customFormat="false" ht="24.85" hidden="false" customHeight="false" outlineLevel="0" collapsed="false">
      <c r="A85" s="483" t="s">
        <v>1035</v>
      </c>
      <c r="B85" s="490" t="s">
        <v>1036</v>
      </c>
      <c r="C85" s="491" t="n">
        <v>1</v>
      </c>
      <c r="D85" s="491" t="s">
        <v>75</v>
      </c>
      <c r="E85" s="88" t="s">
        <v>995</v>
      </c>
      <c r="F85" s="485" t="s">
        <v>996</v>
      </c>
      <c r="G85" s="483" t="s">
        <v>928</v>
      </c>
      <c r="H85" s="494" t="s">
        <v>997</v>
      </c>
      <c r="I85" s="486" t="s">
        <v>998</v>
      </c>
      <c r="J85" s="486" t="s">
        <v>1202</v>
      </c>
    </row>
    <row r="86" s="504" customFormat="true" ht="12.8" hidden="false" customHeight="false" outlineLevel="0" collapsed="false">
      <c r="A86" s="497"/>
      <c r="B86" s="505"/>
      <c r="C86" s="505"/>
      <c r="D86" s="505"/>
      <c r="E86" s="505"/>
      <c r="F86" s="505"/>
      <c r="G86" s="505"/>
      <c r="H86" s="505"/>
      <c r="I86" s="505"/>
      <c r="J86" s="503"/>
      <c r="K86" s="497"/>
      <c r="L86" s="497"/>
      <c r="M86" s="497"/>
      <c r="N86" s="497"/>
      <c r="O86" s="497"/>
      <c r="P86" s="497"/>
      <c r="Q86" s="497"/>
      <c r="R86" s="497"/>
      <c r="S86" s="497"/>
      <c r="T86" s="497"/>
      <c r="U86" s="497"/>
      <c r="V86" s="497"/>
      <c r="W86" s="497"/>
      <c r="X86" s="497"/>
      <c r="Y86" s="497"/>
      <c r="Z86" s="497"/>
      <c r="AA86" s="497"/>
      <c r="AB86" s="497"/>
      <c r="AC86" s="497"/>
      <c r="AD86" s="497"/>
      <c r="AE86" s="497"/>
      <c r="AF86" s="497"/>
      <c r="AG86" s="497"/>
      <c r="AH86" s="497"/>
      <c r="AI86" s="497"/>
      <c r="AJ86" s="497"/>
      <c r="AK86" s="497"/>
      <c r="AL86" s="497"/>
      <c r="AM86" s="497"/>
      <c r="AN86" s="497"/>
      <c r="AO86" s="497"/>
      <c r="AP86" s="497"/>
      <c r="AQ86" s="497"/>
      <c r="AR86" s="497"/>
      <c r="AS86" s="497"/>
      <c r="AT86" s="497"/>
      <c r="AU86" s="497"/>
      <c r="AV86" s="497"/>
      <c r="AW86" s="497"/>
      <c r="AX86" s="497"/>
      <c r="AY86" s="497"/>
      <c r="AZ86" s="497"/>
      <c r="BA86" s="497"/>
      <c r="BB86" s="497"/>
      <c r="BC86" s="497"/>
      <c r="BD86" s="497"/>
      <c r="BE86" s="497"/>
      <c r="BF86" s="497"/>
      <c r="BG86" s="497"/>
      <c r="BH86" s="497"/>
      <c r="BI86" s="497"/>
      <c r="BJ86" s="497"/>
      <c r="BK86" s="497"/>
      <c r="BL86" s="497"/>
      <c r="AMG86" s="497"/>
      <c r="AMH86" s="497"/>
      <c r="AMI86" s="497"/>
      <c r="AMJ86" s="497"/>
    </row>
    <row r="87" customFormat="false" ht="12.9" hidden="false" customHeight="false" outlineLevel="0" collapsed="false">
      <c r="A87" s="483" t="s">
        <v>1203</v>
      </c>
      <c r="B87" s="483" t="s">
        <v>1204</v>
      </c>
      <c r="C87" s="491" t="n">
        <v>2</v>
      </c>
      <c r="D87" s="491" t="s">
        <v>75</v>
      </c>
      <c r="E87" s="88" t="s">
        <v>1205</v>
      </c>
      <c r="F87" s="88" t="s">
        <v>979</v>
      </c>
      <c r="G87" s="483" t="s">
        <v>928</v>
      </c>
      <c r="H87" s="492" t="s">
        <v>1206</v>
      </c>
      <c r="I87" s="485" t="s">
        <v>1207</v>
      </c>
      <c r="J87" s="486" t="s">
        <v>1208</v>
      </c>
    </row>
    <row r="88" customFormat="false" ht="24.85" hidden="false" customHeight="false" outlineLevel="0" collapsed="false">
      <c r="A88" s="483" t="s">
        <v>1203</v>
      </c>
      <c r="B88" s="483" t="s">
        <v>1204</v>
      </c>
      <c r="C88" s="491" t="n">
        <v>2</v>
      </c>
      <c r="D88" s="491" t="s">
        <v>75</v>
      </c>
      <c r="E88" s="88" t="s">
        <v>1209</v>
      </c>
      <c r="F88" s="88" t="s">
        <v>1210</v>
      </c>
      <c r="G88" s="483" t="s">
        <v>928</v>
      </c>
      <c r="H88" s="492" t="s">
        <v>1211</v>
      </c>
      <c r="I88" s="485" t="s">
        <v>1212</v>
      </c>
      <c r="J88" s="486" t="s">
        <v>1213</v>
      </c>
    </row>
    <row r="89" customFormat="false" ht="24.85" hidden="false" customHeight="false" outlineLevel="0" collapsed="false">
      <c r="A89" s="483" t="s">
        <v>1203</v>
      </c>
      <c r="B89" s="483" t="s">
        <v>1204</v>
      </c>
      <c r="C89" s="491" t="n">
        <v>2</v>
      </c>
      <c r="D89" s="491" t="s">
        <v>75</v>
      </c>
      <c r="E89" s="493" t="s">
        <v>1214</v>
      </c>
      <c r="F89" s="485" t="s">
        <v>949</v>
      </c>
      <c r="G89" s="483" t="s">
        <v>928</v>
      </c>
      <c r="H89" s="493" t="s">
        <v>1215</v>
      </c>
      <c r="I89" s="88" t="s">
        <v>1216</v>
      </c>
      <c r="J89" s="486" t="s">
        <v>1217</v>
      </c>
    </row>
    <row r="90" customFormat="false" ht="23.85" hidden="false" customHeight="false" outlineLevel="0" collapsed="false">
      <c r="A90" s="483" t="s">
        <v>1203</v>
      </c>
      <c r="B90" s="483" t="s">
        <v>1204</v>
      </c>
      <c r="C90" s="491" t="n">
        <v>2</v>
      </c>
      <c r="D90" s="491" t="s">
        <v>75</v>
      </c>
      <c r="E90" s="88" t="s">
        <v>1129</v>
      </c>
      <c r="F90" s="485" t="s">
        <v>933</v>
      </c>
      <c r="G90" s="483" t="s">
        <v>928</v>
      </c>
      <c r="H90" s="492" t="s">
        <v>1130</v>
      </c>
      <c r="I90" s="485" t="s">
        <v>1131</v>
      </c>
      <c r="J90" s="486" t="s">
        <v>1218</v>
      </c>
    </row>
    <row r="91" customFormat="false" ht="12.8" hidden="false" customHeight="false" outlineLevel="0" collapsed="false">
      <c r="A91" s="483" t="s">
        <v>1203</v>
      </c>
      <c r="B91" s="483" t="s">
        <v>1204</v>
      </c>
      <c r="C91" s="491" t="n">
        <v>2</v>
      </c>
      <c r="D91" s="491" t="s">
        <v>75</v>
      </c>
      <c r="E91" s="88" t="s">
        <v>1129</v>
      </c>
      <c r="F91" s="485" t="s">
        <v>933</v>
      </c>
      <c r="G91" s="483" t="s">
        <v>928</v>
      </c>
      <c r="H91" s="492" t="s">
        <v>1130</v>
      </c>
      <c r="I91" s="485" t="s">
        <v>1131</v>
      </c>
      <c r="J91" s="486" t="s">
        <v>1219</v>
      </c>
    </row>
    <row r="92" customFormat="false" ht="12.8" hidden="false" customHeight="false" outlineLevel="0" collapsed="false">
      <c r="A92" s="483" t="s">
        <v>1203</v>
      </c>
      <c r="B92" s="483" t="s">
        <v>1204</v>
      </c>
      <c r="C92" s="491" t="n">
        <v>3</v>
      </c>
      <c r="D92" s="484" t="s">
        <v>75</v>
      </c>
      <c r="E92" s="88" t="s">
        <v>953</v>
      </c>
      <c r="F92" s="485" t="s">
        <v>1003</v>
      </c>
      <c r="G92" s="483" t="s">
        <v>928</v>
      </c>
      <c r="H92" s="88" t="s">
        <v>1004</v>
      </c>
      <c r="I92" s="88" t="s">
        <v>1005</v>
      </c>
      <c r="J92" s="486" t="s">
        <v>1220</v>
      </c>
    </row>
    <row r="93" customFormat="false" ht="23.85" hidden="false" customHeight="false" outlineLevel="0" collapsed="false">
      <c r="A93" s="483" t="s">
        <v>1203</v>
      </c>
      <c r="B93" s="483" t="s">
        <v>1204</v>
      </c>
      <c r="C93" s="491" t="n">
        <v>1</v>
      </c>
      <c r="D93" s="484" t="s">
        <v>75</v>
      </c>
      <c r="E93" s="88" t="s">
        <v>1000</v>
      </c>
      <c r="F93" s="88" t="s">
        <v>1001</v>
      </c>
      <c r="G93" s="483" t="s">
        <v>928</v>
      </c>
      <c r="H93" s="88" t="s">
        <v>189</v>
      </c>
      <c r="I93" s="88" t="s">
        <v>190</v>
      </c>
      <c r="J93" s="486" t="s">
        <v>1221</v>
      </c>
    </row>
    <row r="94" customFormat="false" ht="24.85" hidden="false" customHeight="false" outlineLevel="0" collapsed="false">
      <c r="A94" s="483" t="s">
        <v>1203</v>
      </c>
      <c r="B94" s="483" t="s">
        <v>1204</v>
      </c>
      <c r="C94" s="491" t="n">
        <v>1</v>
      </c>
      <c r="D94" s="484" t="s">
        <v>75</v>
      </c>
      <c r="E94" s="88" t="s">
        <v>1007</v>
      </c>
      <c r="F94" s="485" t="s">
        <v>1008</v>
      </c>
      <c r="G94" s="483" t="s">
        <v>928</v>
      </c>
      <c r="H94" s="483" t="s">
        <v>202</v>
      </c>
      <c r="I94" s="483" t="s">
        <v>203</v>
      </c>
      <c r="J94" s="486" t="s">
        <v>1009</v>
      </c>
    </row>
    <row r="95" customFormat="false" ht="23.85" hidden="false" customHeight="false" outlineLevel="0" collapsed="false">
      <c r="A95" s="483" t="s">
        <v>1203</v>
      </c>
      <c r="B95" s="483" t="s">
        <v>1204</v>
      </c>
      <c r="C95" s="491" t="n">
        <v>2</v>
      </c>
      <c r="D95" s="491" t="s">
        <v>75</v>
      </c>
      <c r="E95" s="88" t="s">
        <v>1222</v>
      </c>
      <c r="F95" s="485" t="s">
        <v>996</v>
      </c>
      <c r="G95" s="483" t="s">
        <v>928</v>
      </c>
      <c r="H95" s="490" t="s">
        <v>1223</v>
      </c>
      <c r="I95" s="483" t="s">
        <v>1224</v>
      </c>
      <c r="J95" s="486" t="s">
        <v>1225</v>
      </c>
    </row>
    <row r="96" customFormat="false" ht="12.9" hidden="false" customHeight="false" outlineLevel="0" collapsed="false">
      <c r="A96" s="483" t="s">
        <v>1203</v>
      </c>
      <c r="B96" s="483" t="s">
        <v>1204</v>
      </c>
      <c r="C96" s="491" t="n">
        <v>2</v>
      </c>
      <c r="D96" s="491" t="s">
        <v>75</v>
      </c>
      <c r="E96" s="88" t="n">
        <v>806</v>
      </c>
      <c r="F96" s="485" t="s">
        <v>933</v>
      </c>
      <c r="G96" s="483" t="s">
        <v>928</v>
      </c>
      <c r="H96" s="506" t="s">
        <v>1226</v>
      </c>
      <c r="I96" s="506" t="s">
        <v>1227</v>
      </c>
      <c r="J96" s="486" t="s">
        <v>1228</v>
      </c>
    </row>
    <row r="97" customFormat="false" ht="12.9" hidden="false" customHeight="false" outlineLevel="0" collapsed="false">
      <c r="A97" s="483" t="s">
        <v>1203</v>
      </c>
      <c r="B97" s="483" t="s">
        <v>1204</v>
      </c>
      <c r="C97" s="491" t="n">
        <v>1</v>
      </c>
      <c r="D97" s="491" t="s">
        <v>75</v>
      </c>
      <c r="E97" s="88" t="s">
        <v>1229</v>
      </c>
      <c r="F97" s="485" t="s">
        <v>979</v>
      </c>
      <c r="G97" s="483" t="s">
        <v>928</v>
      </c>
      <c r="H97" s="492" t="s">
        <v>1230</v>
      </c>
      <c r="I97" s="485" t="s">
        <v>1231</v>
      </c>
      <c r="J97" s="486" t="s">
        <v>1232</v>
      </c>
    </row>
    <row r="98" customFormat="false" ht="23.85" hidden="false" customHeight="false" outlineLevel="0" collapsed="false">
      <c r="A98" s="483" t="s">
        <v>1203</v>
      </c>
      <c r="B98" s="483" t="s">
        <v>1204</v>
      </c>
      <c r="C98" s="491" t="n">
        <v>1</v>
      </c>
      <c r="D98" s="491" t="s">
        <v>75</v>
      </c>
      <c r="E98" s="88" t="s">
        <v>1209</v>
      </c>
      <c r="F98" s="88" t="s">
        <v>1210</v>
      </c>
      <c r="G98" s="483" t="s">
        <v>928</v>
      </c>
      <c r="H98" s="492" t="s">
        <v>1211</v>
      </c>
      <c r="I98" s="485" t="s">
        <v>1212</v>
      </c>
      <c r="J98" s="486" t="s">
        <v>1233</v>
      </c>
    </row>
    <row r="99" customFormat="false" ht="12.9" hidden="false" customHeight="false" outlineLevel="0" collapsed="false">
      <c r="A99" s="483" t="s">
        <v>1203</v>
      </c>
      <c r="B99" s="483" t="s">
        <v>1204</v>
      </c>
      <c r="C99" s="491" t="n">
        <v>1</v>
      </c>
      <c r="D99" s="491" t="s">
        <v>75</v>
      </c>
      <c r="E99" s="88" t="s">
        <v>1148</v>
      </c>
      <c r="F99" s="485" t="s">
        <v>933</v>
      </c>
      <c r="G99" s="483" t="s">
        <v>928</v>
      </c>
      <c r="H99" s="492" t="s">
        <v>1149</v>
      </c>
      <c r="I99" s="485" t="s">
        <v>1150</v>
      </c>
      <c r="J99" s="486" t="s">
        <v>1234</v>
      </c>
    </row>
    <row r="100" customFormat="false" ht="12.9" hidden="false" customHeight="false" outlineLevel="0" collapsed="false">
      <c r="A100" s="483" t="s">
        <v>1203</v>
      </c>
      <c r="B100" s="483" t="s">
        <v>1204</v>
      </c>
      <c r="C100" s="491" t="n">
        <v>1</v>
      </c>
      <c r="D100" s="491" t="s">
        <v>75</v>
      </c>
      <c r="E100" s="88" t="s">
        <v>1064</v>
      </c>
      <c r="F100" s="485" t="s">
        <v>933</v>
      </c>
      <c r="G100" s="483" t="s">
        <v>928</v>
      </c>
      <c r="H100" s="490" t="s">
        <v>1065</v>
      </c>
      <c r="I100" s="490" t="s">
        <v>1066</v>
      </c>
      <c r="J100" s="486" t="s">
        <v>1235</v>
      </c>
    </row>
    <row r="101" customFormat="false" ht="23.85" hidden="false" customHeight="false" outlineLevel="0" collapsed="false">
      <c r="A101" s="483" t="s">
        <v>1203</v>
      </c>
      <c r="B101" s="483" t="s">
        <v>1204</v>
      </c>
      <c r="C101" s="491" t="n">
        <v>2</v>
      </c>
      <c r="D101" s="491" t="s">
        <v>75</v>
      </c>
      <c r="E101" s="88" t="s">
        <v>1007</v>
      </c>
      <c r="F101" s="88" t="s">
        <v>1236</v>
      </c>
      <c r="G101" s="483" t="s">
        <v>928</v>
      </c>
      <c r="H101" s="492" t="s">
        <v>1237</v>
      </c>
      <c r="I101" s="485" t="s">
        <v>1238</v>
      </c>
      <c r="J101" s="486" t="s">
        <v>1239</v>
      </c>
    </row>
    <row r="102" customFormat="false" ht="12.8" hidden="false" customHeight="false" outlineLevel="0" collapsed="false">
      <c r="A102" s="483" t="s">
        <v>1203</v>
      </c>
      <c r="B102" s="483" t="s">
        <v>1204</v>
      </c>
      <c r="C102" s="491" t="n">
        <v>2</v>
      </c>
      <c r="D102" s="484" t="s">
        <v>75</v>
      </c>
      <c r="E102" s="88" t="s">
        <v>953</v>
      </c>
      <c r="F102" s="485" t="s">
        <v>1003</v>
      </c>
      <c r="G102" s="483" t="s">
        <v>928</v>
      </c>
      <c r="H102" s="88" t="s">
        <v>1004</v>
      </c>
      <c r="I102" s="88" t="s">
        <v>1005</v>
      </c>
      <c r="J102" s="486" t="s">
        <v>1240</v>
      </c>
    </row>
    <row r="103" customFormat="false" ht="23.85" hidden="false" customHeight="false" outlineLevel="0" collapsed="false">
      <c r="A103" s="483" t="s">
        <v>1203</v>
      </c>
      <c r="B103" s="483" t="s">
        <v>1204</v>
      </c>
      <c r="C103" s="491" t="n">
        <v>10</v>
      </c>
      <c r="D103" s="491" t="s">
        <v>75</v>
      </c>
      <c r="E103" s="88" t="s">
        <v>1129</v>
      </c>
      <c r="F103" s="485" t="s">
        <v>933</v>
      </c>
      <c r="G103" s="483" t="s">
        <v>928</v>
      </c>
      <c r="H103" s="492" t="s">
        <v>1130</v>
      </c>
      <c r="I103" s="485" t="s">
        <v>1131</v>
      </c>
      <c r="J103" s="486" t="s">
        <v>1241</v>
      </c>
    </row>
    <row r="104" customFormat="false" ht="23.85" hidden="false" customHeight="false" outlineLevel="0" collapsed="false">
      <c r="A104" s="483" t="s">
        <v>1203</v>
      </c>
      <c r="B104" s="483" t="s">
        <v>1204</v>
      </c>
      <c r="C104" s="491" t="n">
        <v>1</v>
      </c>
      <c r="D104" s="491" t="s">
        <v>75</v>
      </c>
      <c r="E104" s="88" t="s">
        <v>1242</v>
      </c>
      <c r="F104" s="88" t="s">
        <v>1243</v>
      </c>
      <c r="G104" s="483" t="s">
        <v>928</v>
      </c>
      <c r="H104" s="492" t="s">
        <v>1244</v>
      </c>
      <c r="I104" s="485" t="s">
        <v>1245</v>
      </c>
      <c r="J104" s="486" t="s">
        <v>1246</v>
      </c>
    </row>
    <row r="105" customFormat="false" ht="12.8" hidden="false" customHeight="false" outlineLevel="0" collapsed="false">
      <c r="A105" s="483" t="s">
        <v>1203</v>
      </c>
      <c r="B105" s="483" t="s">
        <v>1204</v>
      </c>
      <c r="C105" s="491" t="n">
        <v>1</v>
      </c>
      <c r="D105" s="491" t="s">
        <v>75</v>
      </c>
      <c r="E105" s="88" t="s">
        <v>1247</v>
      </c>
      <c r="F105" s="88" t="s">
        <v>1248</v>
      </c>
      <c r="G105" s="483" t="s">
        <v>928</v>
      </c>
      <c r="H105" s="492" t="s">
        <v>1249</v>
      </c>
      <c r="I105" s="485" t="s">
        <v>1250</v>
      </c>
      <c r="J105" s="486" t="s">
        <v>1251</v>
      </c>
    </row>
    <row r="106" customFormat="false" ht="12.8" hidden="false" customHeight="false" outlineLevel="0" collapsed="false">
      <c r="A106" s="483" t="s">
        <v>1203</v>
      </c>
      <c r="B106" s="483" t="s">
        <v>1204</v>
      </c>
      <c r="C106" s="491" t="n">
        <v>1</v>
      </c>
      <c r="D106" s="491" t="s">
        <v>75</v>
      </c>
      <c r="E106" s="88" t="s">
        <v>1129</v>
      </c>
      <c r="F106" s="485" t="s">
        <v>933</v>
      </c>
      <c r="G106" s="483" t="s">
        <v>928</v>
      </c>
      <c r="H106" s="492" t="s">
        <v>1130</v>
      </c>
      <c r="I106" s="485" t="s">
        <v>1131</v>
      </c>
      <c r="J106" s="486" t="s">
        <v>1252</v>
      </c>
    </row>
    <row r="107" customFormat="false" ht="12.8" hidden="false" customHeight="false" outlineLevel="0" collapsed="false">
      <c r="A107" s="483" t="s">
        <v>1203</v>
      </c>
      <c r="B107" s="483" t="s">
        <v>1204</v>
      </c>
      <c r="C107" s="491" t="n">
        <v>1</v>
      </c>
      <c r="D107" s="491" t="s">
        <v>75</v>
      </c>
      <c r="E107" s="88" t="s">
        <v>995</v>
      </c>
      <c r="F107" s="88" t="n">
        <v>2220</v>
      </c>
      <c r="G107" s="483" t="s">
        <v>928</v>
      </c>
      <c r="H107" s="492" t="s">
        <v>1253</v>
      </c>
      <c r="I107" s="485" t="s">
        <v>1254</v>
      </c>
      <c r="J107" s="486" t="s">
        <v>1255</v>
      </c>
    </row>
    <row r="108" customFormat="false" ht="23.85" hidden="false" customHeight="false" outlineLevel="0" collapsed="false">
      <c r="A108" s="483" t="s">
        <v>1203</v>
      </c>
      <c r="B108" s="483" t="s">
        <v>1204</v>
      </c>
      <c r="C108" s="491" t="n">
        <v>1</v>
      </c>
      <c r="D108" s="491" t="s">
        <v>75</v>
      </c>
      <c r="E108" s="88" t="s">
        <v>1256</v>
      </c>
      <c r="F108" s="88" t="s">
        <v>1257</v>
      </c>
      <c r="G108" s="483" t="s">
        <v>928</v>
      </c>
      <c r="H108" s="492" t="s">
        <v>1258</v>
      </c>
      <c r="I108" s="485" t="s">
        <v>1259</v>
      </c>
      <c r="J108" s="486" t="s">
        <v>1260</v>
      </c>
    </row>
    <row r="109" customFormat="false" ht="12.9" hidden="false" customHeight="false" outlineLevel="0" collapsed="false">
      <c r="A109" s="483" t="s">
        <v>1203</v>
      </c>
      <c r="B109" s="483" t="s">
        <v>1204</v>
      </c>
      <c r="C109" s="491" t="n">
        <v>1</v>
      </c>
      <c r="D109" s="491" t="s">
        <v>75</v>
      </c>
      <c r="E109" s="88" t="s">
        <v>995</v>
      </c>
      <c r="F109" s="485" t="s">
        <v>996</v>
      </c>
      <c r="G109" s="483" t="s">
        <v>928</v>
      </c>
      <c r="H109" s="494" t="s">
        <v>997</v>
      </c>
      <c r="I109" s="486" t="s">
        <v>998</v>
      </c>
      <c r="J109" s="486" t="s">
        <v>1261</v>
      </c>
    </row>
    <row r="110" customFormat="false" ht="12.8" hidden="false" customHeight="false" outlineLevel="0" collapsed="false">
      <c r="A110" s="483" t="s">
        <v>1203</v>
      </c>
      <c r="B110" s="483" t="s">
        <v>1204</v>
      </c>
      <c r="C110" s="491" t="n">
        <v>1</v>
      </c>
      <c r="D110" s="491" t="s">
        <v>75</v>
      </c>
      <c r="E110" s="88" t="s">
        <v>1129</v>
      </c>
      <c r="F110" s="485" t="s">
        <v>933</v>
      </c>
      <c r="G110" s="483" t="s">
        <v>928</v>
      </c>
      <c r="H110" s="492" t="s">
        <v>1130</v>
      </c>
      <c r="I110" s="485" t="s">
        <v>1131</v>
      </c>
      <c r="J110" s="486" t="s">
        <v>1262</v>
      </c>
    </row>
    <row r="111" customFormat="false" ht="23.85" hidden="false" customHeight="false" outlineLevel="0" collapsed="false">
      <c r="A111" s="483" t="s">
        <v>1203</v>
      </c>
      <c r="B111" s="483" t="s">
        <v>1204</v>
      </c>
      <c r="C111" s="491" t="n">
        <v>2</v>
      </c>
      <c r="D111" s="491" t="s">
        <v>75</v>
      </c>
      <c r="E111" s="88" t="s">
        <v>1064</v>
      </c>
      <c r="F111" s="485" t="s">
        <v>933</v>
      </c>
      <c r="G111" s="483" t="s">
        <v>928</v>
      </c>
      <c r="H111" s="490" t="s">
        <v>1065</v>
      </c>
      <c r="I111" s="490" t="s">
        <v>1066</v>
      </c>
      <c r="J111" s="486" t="s">
        <v>1263</v>
      </c>
    </row>
    <row r="112" customFormat="false" ht="24.85" hidden="false" customHeight="false" outlineLevel="0" collapsed="false">
      <c r="A112" s="483" t="s">
        <v>1203</v>
      </c>
      <c r="B112" s="483" t="s">
        <v>1204</v>
      </c>
      <c r="C112" s="491" t="n">
        <v>6</v>
      </c>
      <c r="D112" s="491" t="s">
        <v>75</v>
      </c>
      <c r="E112" s="88" t="n">
        <v>5000</v>
      </c>
      <c r="F112" s="485" t="s">
        <v>1248</v>
      </c>
      <c r="G112" s="483" t="s">
        <v>928</v>
      </c>
      <c r="H112" s="492" t="s">
        <v>1264</v>
      </c>
      <c r="I112" s="485" t="s">
        <v>1265</v>
      </c>
      <c r="J112" s="486" t="s">
        <v>1266</v>
      </c>
    </row>
    <row r="113" customFormat="false" ht="12.8" hidden="false" customHeight="false" outlineLevel="0" collapsed="false">
      <c r="A113" s="483" t="s">
        <v>1203</v>
      </c>
      <c r="B113" s="483" t="s">
        <v>1204</v>
      </c>
      <c r="C113" s="491" t="n">
        <v>1</v>
      </c>
      <c r="D113" s="491" t="s">
        <v>75</v>
      </c>
      <c r="E113" s="88" t="s">
        <v>1267</v>
      </c>
      <c r="F113" s="88" t="s">
        <v>1084</v>
      </c>
      <c r="G113" s="483" t="s">
        <v>928</v>
      </c>
      <c r="H113" s="492" t="s">
        <v>1268</v>
      </c>
      <c r="I113" s="485" t="s">
        <v>1269</v>
      </c>
      <c r="J113" s="486" t="s">
        <v>1270</v>
      </c>
    </row>
    <row r="114" customFormat="false" ht="23.85" hidden="false" customHeight="false" outlineLevel="0" collapsed="false">
      <c r="A114" s="483" t="s">
        <v>1203</v>
      </c>
      <c r="B114" s="483" t="s">
        <v>1204</v>
      </c>
      <c r="C114" s="491" t="n">
        <v>2</v>
      </c>
      <c r="D114" s="491" t="s">
        <v>75</v>
      </c>
      <c r="E114" s="88" t="s">
        <v>1064</v>
      </c>
      <c r="F114" s="485" t="s">
        <v>933</v>
      </c>
      <c r="G114" s="483" t="s">
        <v>928</v>
      </c>
      <c r="H114" s="490" t="s">
        <v>1065</v>
      </c>
      <c r="I114" s="490" t="s">
        <v>1066</v>
      </c>
      <c r="J114" s="486" t="s">
        <v>1271</v>
      </c>
    </row>
    <row r="115" customFormat="false" ht="23.85" hidden="false" customHeight="false" outlineLevel="0" collapsed="false">
      <c r="A115" s="483" t="s">
        <v>1203</v>
      </c>
      <c r="B115" s="483" t="s">
        <v>1204</v>
      </c>
      <c r="C115" s="491" t="n">
        <v>2</v>
      </c>
      <c r="D115" s="491" t="s">
        <v>75</v>
      </c>
      <c r="E115" s="88" t="s">
        <v>1129</v>
      </c>
      <c r="F115" s="485" t="s">
        <v>933</v>
      </c>
      <c r="G115" s="483" t="s">
        <v>928</v>
      </c>
      <c r="H115" s="492" t="s">
        <v>1130</v>
      </c>
      <c r="I115" s="485" t="s">
        <v>1131</v>
      </c>
      <c r="J115" s="486" t="s">
        <v>1272</v>
      </c>
    </row>
    <row r="116" customFormat="false" ht="23.85" hidden="false" customHeight="false" outlineLevel="0" collapsed="false">
      <c r="A116" s="483" t="s">
        <v>1203</v>
      </c>
      <c r="B116" s="483" t="s">
        <v>1204</v>
      </c>
      <c r="C116" s="491" t="n">
        <v>1</v>
      </c>
      <c r="D116" s="491" t="s">
        <v>75</v>
      </c>
      <c r="E116" s="88" t="s">
        <v>1273</v>
      </c>
      <c r="F116" s="485" t="s">
        <v>1274</v>
      </c>
      <c r="G116" s="483" t="s">
        <v>928</v>
      </c>
      <c r="H116" s="88" t="s">
        <v>1275</v>
      </c>
      <c r="I116" s="485" t="s">
        <v>1276</v>
      </c>
      <c r="J116" s="486" t="s">
        <v>1277</v>
      </c>
    </row>
    <row r="117" customFormat="false" ht="12.8" hidden="false" customHeight="false" outlineLevel="0" collapsed="false">
      <c r="A117" s="483" t="s">
        <v>1203</v>
      </c>
      <c r="B117" s="483" t="s">
        <v>1204</v>
      </c>
      <c r="C117" s="491" t="n">
        <v>2</v>
      </c>
      <c r="D117" s="491" t="s">
        <v>75</v>
      </c>
      <c r="E117" s="88" t="s">
        <v>1064</v>
      </c>
      <c r="F117" s="485" t="s">
        <v>933</v>
      </c>
      <c r="G117" s="483" t="s">
        <v>928</v>
      </c>
      <c r="H117" s="490" t="s">
        <v>1065</v>
      </c>
      <c r="I117" s="490" t="s">
        <v>1066</v>
      </c>
      <c r="J117" s="486" t="s">
        <v>1278</v>
      </c>
    </row>
    <row r="118" customFormat="false" ht="23.85" hidden="false" customHeight="false" outlineLevel="0" collapsed="false">
      <c r="A118" s="483" t="s">
        <v>1203</v>
      </c>
      <c r="B118" s="483" t="s">
        <v>1204</v>
      </c>
      <c r="C118" s="491" t="n">
        <v>7</v>
      </c>
      <c r="D118" s="491" t="s">
        <v>75</v>
      </c>
      <c r="E118" s="88" t="s">
        <v>1141</v>
      </c>
      <c r="F118" s="485" t="s">
        <v>933</v>
      </c>
      <c r="G118" s="483" t="s">
        <v>928</v>
      </c>
      <c r="H118" s="492" t="s">
        <v>1142</v>
      </c>
      <c r="I118" s="485" t="s">
        <v>1143</v>
      </c>
      <c r="J118" s="486" t="s">
        <v>1279</v>
      </c>
    </row>
    <row r="119" customFormat="false" ht="24.85" hidden="false" customHeight="false" outlineLevel="0" collapsed="false">
      <c r="A119" s="483" t="s">
        <v>1203</v>
      </c>
      <c r="B119" s="483" t="s">
        <v>1204</v>
      </c>
      <c r="C119" s="491" t="n">
        <v>7</v>
      </c>
      <c r="D119" s="491" t="s">
        <v>75</v>
      </c>
      <c r="E119" s="88" t="s">
        <v>1129</v>
      </c>
      <c r="F119" s="485" t="s">
        <v>933</v>
      </c>
      <c r="G119" s="483" t="s">
        <v>928</v>
      </c>
      <c r="H119" s="492" t="s">
        <v>1130</v>
      </c>
      <c r="I119" s="485" t="s">
        <v>1131</v>
      </c>
      <c r="J119" s="486" t="s">
        <v>1279</v>
      </c>
    </row>
    <row r="120" customFormat="false" ht="12.9" hidden="false" customHeight="false" outlineLevel="0" collapsed="false">
      <c r="A120" s="483" t="s">
        <v>1203</v>
      </c>
      <c r="B120" s="483" t="s">
        <v>1204</v>
      </c>
      <c r="C120" s="491" t="n">
        <v>1</v>
      </c>
      <c r="D120" s="491" t="s">
        <v>75</v>
      </c>
      <c r="E120" s="88" t="s">
        <v>1280</v>
      </c>
      <c r="F120" s="88" t="s">
        <v>1281</v>
      </c>
      <c r="G120" s="483" t="s">
        <v>928</v>
      </c>
      <c r="H120" s="88" t="s">
        <v>1282</v>
      </c>
      <c r="I120" s="88" t="s">
        <v>1283</v>
      </c>
      <c r="J120" s="486" t="s">
        <v>1284</v>
      </c>
    </row>
    <row r="121" customFormat="false" ht="12.8" hidden="false" customHeight="false" outlineLevel="0" collapsed="false">
      <c r="A121" s="483" t="s">
        <v>1203</v>
      </c>
      <c r="B121" s="483" t="s">
        <v>1204</v>
      </c>
      <c r="C121" s="491" t="n">
        <v>1</v>
      </c>
      <c r="D121" s="491" t="s">
        <v>75</v>
      </c>
      <c r="E121" s="88" t="s">
        <v>953</v>
      </c>
      <c r="F121" s="485" t="s">
        <v>933</v>
      </c>
      <c r="G121" s="483" t="s">
        <v>928</v>
      </c>
      <c r="H121" s="492" t="s">
        <v>954</v>
      </c>
      <c r="I121" s="485" t="s">
        <v>955</v>
      </c>
      <c r="J121" s="486" t="s">
        <v>1285</v>
      </c>
    </row>
    <row r="122" customFormat="false" ht="12.9" hidden="false" customHeight="false" outlineLevel="0" collapsed="false">
      <c r="A122" s="483" t="s">
        <v>1203</v>
      </c>
      <c r="B122" s="483" t="s">
        <v>1204</v>
      </c>
      <c r="C122" s="491" t="n">
        <v>1</v>
      </c>
      <c r="D122" s="491" t="s">
        <v>75</v>
      </c>
      <c r="E122" s="88" t="s">
        <v>1129</v>
      </c>
      <c r="F122" s="485" t="s">
        <v>933</v>
      </c>
      <c r="G122" s="483" t="s">
        <v>928</v>
      </c>
      <c r="H122" s="492" t="s">
        <v>1130</v>
      </c>
      <c r="I122" s="485" t="s">
        <v>1131</v>
      </c>
      <c r="J122" s="486" t="s">
        <v>1285</v>
      </c>
    </row>
    <row r="123" customFormat="false" ht="12.8" hidden="false" customHeight="false" outlineLevel="0" collapsed="false">
      <c r="A123" s="483" t="s">
        <v>1203</v>
      </c>
      <c r="B123" s="483" t="s">
        <v>1204</v>
      </c>
      <c r="C123" s="491" t="n">
        <v>1</v>
      </c>
      <c r="D123" s="491" t="s">
        <v>75</v>
      </c>
      <c r="E123" s="88" t="s">
        <v>1064</v>
      </c>
      <c r="F123" s="485" t="s">
        <v>933</v>
      </c>
      <c r="G123" s="483" t="s">
        <v>928</v>
      </c>
      <c r="H123" s="490" t="s">
        <v>1065</v>
      </c>
      <c r="I123" s="490" t="s">
        <v>1066</v>
      </c>
      <c r="J123" s="486" t="s">
        <v>1286</v>
      </c>
    </row>
    <row r="124" customFormat="false" ht="12.9" hidden="false" customHeight="false" outlineLevel="0" collapsed="false">
      <c r="A124" s="483" t="s">
        <v>1203</v>
      </c>
      <c r="B124" s="483" t="s">
        <v>1204</v>
      </c>
      <c r="C124" s="491" t="n">
        <v>1</v>
      </c>
      <c r="D124" s="491" t="s">
        <v>75</v>
      </c>
      <c r="E124" s="496" t="n">
        <v>549</v>
      </c>
      <c r="F124" s="485" t="s">
        <v>933</v>
      </c>
      <c r="G124" s="483" t="s">
        <v>928</v>
      </c>
      <c r="H124" s="492" t="s">
        <v>1287</v>
      </c>
      <c r="I124" s="486" t="s">
        <v>1288</v>
      </c>
      <c r="J124" s="486" t="s">
        <v>1286</v>
      </c>
    </row>
    <row r="125" customFormat="false" ht="12.9" hidden="false" customHeight="false" outlineLevel="0" collapsed="false">
      <c r="A125" s="483" t="s">
        <v>1203</v>
      </c>
      <c r="B125" s="483" t="s">
        <v>1204</v>
      </c>
      <c r="C125" s="491" t="n">
        <v>1</v>
      </c>
      <c r="D125" s="491" t="s">
        <v>75</v>
      </c>
      <c r="E125" s="88" t="s">
        <v>1289</v>
      </c>
      <c r="F125" s="485" t="s">
        <v>933</v>
      </c>
      <c r="G125" s="483" t="s">
        <v>928</v>
      </c>
      <c r="H125" s="486" t="s">
        <v>1290</v>
      </c>
      <c r="I125" s="486" t="s">
        <v>1291</v>
      </c>
      <c r="J125" s="486" t="s">
        <v>1286</v>
      </c>
    </row>
    <row r="126" customFormat="false" ht="23.85" hidden="false" customHeight="false" outlineLevel="0" collapsed="false">
      <c r="A126" s="483" t="s">
        <v>1203</v>
      </c>
      <c r="B126" s="483" t="s">
        <v>1204</v>
      </c>
      <c r="C126" s="491" t="n">
        <v>1</v>
      </c>
      <c r="D126" s="491" t="s">
        <v>75</v>
      </c>
      <c r="E126" s="88" t="s">
        <v>1292</v>
      </c>
      <c r="F126" s="485" t="s">
        <v>933</v>
      </c>
      <c r="G126" s="483" t="s">
        <v>928</v>
      </c>
      <c r="H126" s="88" t="s">
        <v>1293</v>
      </c>
      <c r="I126" s="88" t="s">
        <v>1294</v>
      </c>
      <c r="J126" s="486" t="s">
        <v>1286</v>
      </c>
    </row>
    <row r="127" customFormat="false" ht="12.8" hidden="false" customHeight="false" outlineLevel="0" collapsed="false">
      <c r="B127" s="490"/>
      <c r="C127" s="491"/>
      <c r="D127" s="491"/>
      <c r="H127" s="490"/>
      <c r="I127" s="490"/>
    </row>
    <row r="128" customFormat="false" ht="12.8" hidden="false" customHeight="false" outlineLevel="0" collapsed="false">
      <c r="B128" s="490"/>
      <c r="C128" s="491"/>
      <c r="D128" s="491"/>
      <c r="F128" s="88"/>
      <c r="H128" s="88"/>
      <c r="I128" s="88"/>
    </row>
    <row r="129" customFormat="false" ht="12.8" hidden="false" customHeight="false" outlineLevel="0" collapsed="false">
      <c r="B129" s="490"/>
      <c r="C129" s="491"/>
      <c r="D129" s="491"/>
      <c r="H129" s="492"/>
      <c r="I129" s="506"/>
    </row>
    <row r="130" customFormat="false" ht="12.8" hidden="false" customHeight="false" outlineLevel="0" collapsed="false">
      <c r="B130" s="490"/>
      <c r="C130" s="491"/>
      <c r="D130" s="491"/>
      <c r="H130" s="88"/>
      <c r="I130" s="88"/>
    </row>
    <row r="131" customFormat="false" ht="12.8" hidden="false" customHeight="false" outlineLevel="0" collapsed="false">
      <c r="B131" s="490"/>
      <c r="C131" s="491"/>
      <c r="D131" s="491"/>
      <c r="F131" s="88"/>
      <c r="H131" s="496"/>
      <c r="I131" s="496"/>
    </row>
    <row r="132" customFormat="false" ht="12.8" hidden="false" customHeight="false" outlineLevel="0" collapsed="false">
      <c r="B132" s="490"/>
      <c r="C132" s="491"/>
      <c r="D132" s="491"/>
    </row>
    <row r="133" customFormat="false" ht="12.8" hidden="false" customHeight="false" outlineLevel="0" collapsed="false">
      <c r="B133" s="490"/>
      <c r="C133" s="491"/>
      <c r="D133" s="491"/>
    </row>
    <row r="134" customFormat="false" ht="12.8" hidden="false" customHeight="false" outlineLevel="0" collapsed="false">
      <c r="B134" s="490"/>
      <c r="C134" s="491"/>
      <c r="D134" s="491"/>
    </row>
    <row r="135" customFormat="false" ht="12.8" hidden="false" customHeight="false" outlineLevel="0" collapsed="false">
      <c r="B135" s="490"/>
      <c r="C135" s="491"/>
      <c r="D135" s="491"/>
    </row>
    <row r="136" customFormat="false" ht="12.8" hidden="false" customHeight="false" outlineLevel="0" collapsed="false">
      <c r="C136" s="483"/>
      <c r="D136" s="483"/>
      <c r="E136" s="483"/>
      <c r="F136" s="483"/>
      <c r="H136" s="483"/>
      <c r="I136" s="483"/>
    </row>
    <row r="137" customFormat="false" ht="12.8" hidden="false" customHeight="false" outlineLevel="0" collapsed="false">
      <c r="C137" s="483"/>
      <c r="D137" s="483"/>
      <c r="E137" s="483"/>
      <c r="F137" s="483"/>
      <c r="H137" s="483"/>
      <c r="I137" s="483"/>
      <c r="J137" s="492"/>
      <c r="K137" s="490"/>
      <c r="L137" s="490"/>
      <c r="M137" s="490"/>
      <c r="N137" s="490"/>
      <c r="O137" s="490"/>
      <c r="P137" s="490"/>
      <c r="Q137" s="490"/>
      <c r="R137" s="490"/>
      <c r="S137" s="490"/>
      <c r="T137" s="490"/>
      <c r="U137" s="490"/>
      <c r="V137" s="490"/>
      <c r="W137" s="490"/>
      <c r="X137" s="490"/>
      <c r="Y137" s="490"/>
      <c r="Z137" s="490"/>
      <c r="AA137" s="490"/>
      <c r="AB137" s="490"/>
      <c r="AC137" s="490"/>
      <c r="AD137" s="490"/>
      <c r="AE137" s="490"/>
      <c r="AF137" s="490"/>
      <c r="AG137" s="490"/>
      <c r="AH137" s="490"/>
      <c r="AI137" s="490"/>
      <c r="AJ137" s="490"/>
      <c r="AK137" s="490"/>
      <c r="AL137" s="490"/>
      <c r="AM137" s="490"/>
      <c r="AN137" s="490"/>
      <c r="AO137" s="490"/>
      <c r="AP137" s="490"/>
      <c r="AQ137" s="490"/>
      <c r="AR137" s="490"/>
      <c r="AS137" s="490"/>
      <c r="AT137" s="490"/>
      <c r="AU137" s="490"/>
      <c r="AV137" s="490"/>
      <c r="AW137" s="490"/>
      <c r="AX137" s="490"/>
      <c r="AY137" s="490"/>
      <c r="AZ137" s="490"/>
      <c r="BA137" s="490"/>
      <c r="BB137" s="490"/>
      <c r="BC137" s="490"/>
      <c r="BD137" s="490"/>
      <c r="BE137" s="490"/>
      <c r="BF137" s="490"/>
      <c r="BG137" s="490"/>
      <c r="BH137" s="490"/>
      <c r="BI137" s="490"/>
      <c r="BJ137" s="490"/>
      <c r="BK137" s="490"/>
      <c r="BL137" s="490"/>
    </row>
    <row r="138" customFormat="false" ht="12.8" hidden="false" customHeight="false" outlineLevel="0" collapsed="false">
      <c r="C138" s="483"/>
      <c r="D138" s="483"/>
      <c r="E138" s="483"/>
      <c r="F138" s="483"/>
      <c r="H138" s="483"/>
      <c r="I138" s="483"/>
    </row>
    <row r="139" customFormat="false" ht="12.8" hidden="false" customHeight="false" outlineLevel="0" collapsed="false">
      <c r="C139" s="483"/>
      <c r="D139" s="483"/>
      <c r="E139" s="483"/>
      <c r="F139" s="483"/>
      <c r="H139" s="483"/>
      <c r="I139" s="483"/>
    </row>
    <row r="140" customFormat="false" ht="12.8" hidden="false" customHeight="false" outlineLevel="0" collapsed="false">
      <c r="C140" s="483"/>
      <c r="D140" s="483"/>
      <c r="E140" s="483"/>
      <c r="F140" s="483"/>
      <c r="H140" s="483"/>
      <c r="I140" s="483"/>
    </row>
    <row r="141" customFormat="false" ht="12.8" hidden="false" customHeight="false" outlineLevel="0" collapsed="false">
      <c r="B141" s="490"/>
      <c r="C141" s="491"/>
      <c r="D141" s="491"/>
      <c r="H141" s="492"/>
    </row>
    <row r="142" customFormat="false" ht="12.8" hidden="false" customHeight="false" outlineLevel="0" collapsed="false">
      <c r="B142" s="490"/>
      <c r="C142" s="491"/>
      <c r="D142" s="491"/>
      <c r="H142" s="492"/>
    </row>
    <row r="143" customFormat="false" ht="12.8" hidden="false" customHeight="false" outlineLevel="0" collapsed="false">
      <c r="B143" s="490"/>
      <c r="C143" s="491"/>
      <c r="D143" s="491"/>
    </row>
    <row r="144" customFormat="false" ht="12.8" hidden="false" customHeight="false" outlineLevel="0" collapsed="false">
      <c r="B144" s="490"/>
      <c r="C144" s="491"/>
      <c r="D144" s="491"/>
      <c r="I144" s="490"/>
    </row>
    <row r="145" customFormat="false" ht="12.8" hidden="false" customHeight="false" outlineLevel="0" collapsed="false">
      <c r="B145" s="490"/>
      <c r="C145" s="491"/>
      <c r="D145" s="491"/>
      <c r="H145" s="492"/>
      <c r="I145" s="483"/>
    </row>
    <row r="146" customFormat="false" ht="12.8" hidden="false" customHeight="false" outlineLevel="0" collapsed="false">
      <c r="B146" s="490"/>
      <c r="C146" s="491"/>
      <c r="D146" s="491"/>
      <c r="H146" s="492"/>
    </row>
    <row r="147" customFormat="false" ht="12.8" hidden="false" customHeight="false" outlineLevel="0" collapsed="false">
      <c r="B147" s="490"/>
      <c r="C147" s="491"/>
      <c r="D147" s="491"/>
      <c r="H147" s="492"/>
    </row>
    <row r="148" customFormat="false" ht="12.8" hidden="false" customHeight="false" outlineLevel="0" collapsed="false">
      <c r="B148" s="490"/>
      <c r="C148" s="491"/>
      <c r="D148" s="491"/>
    </row>
    <row r="149" customFormat="false" ht="12.8" hidden="false" customHeight="false" outlineLevel="0" collapsed="false">
      <c r="B149" s="490"/>
      <c r="C149" s="491"/>
      <c r="D149" s="491"/>
      <c r="H149" s="492"/>
    </row>
    <row r="150" customFormat="false" ht="12.8" hidden="false" customHeight="false" outlineLevel="0" collapsed="false">
      <c r="B150" s="490"/>
      <c r="C150" s="491"/>
      <c r="D150" s="491"/>
    </row>
    <row r="151" customFormat="false" ht="12.8" hidden="false" customHeight="false" outlineLevel="0" collapsed="false">
      <c r="B151" s="490"/>
      <c r="C151" s="491"/>
      <c r="D151" s="491"/>
      <c r="H151" s="492"/>
    </row>
    <row r="152" customFormat="false" ht="12.8" hidden="false" customHeight="false" outlineLevel="0" collapsed="false">
      <c r="B152" s="490"/>
      <c r="C152" s="491"/>
      <c r="D152" s="491"/>
    </row>
    <row r="153" customFormat="false" ht="12.8" hidden="false" customHeight="false" outlineLevel="0" collapsed="false">
      <c r="B153" s="490"/>
      <c r="C153" s="491"/>
      <c r="D153" s="491"/>
    </row>
    <row r="154" customFormat="false" ht="12.8" hidden="false" customHeight="false" outlineLevel="0" collapsed="false">
      <c r="B154" s="490"/>
      <c r="C154" s="491"/>
      <c r="D154" s="491"/>
    </row>
    <row r="155" customFormat="false" ht="12.8" hidden="false" customHeight="false" outlineLevel="0" collapsed="false">
      <c r="B155" s="490"/>
      <c r="C155" s="491"/>
      <c r="D155" s="491"/>
    </row>
    <row r="156" customFormat="false" ht="12.8" hidden="false" customHeight="false" outlineLevel="0" collapsed="false">
      <c r="B156" s="490"/>
      <c r="C156" s="491"/>
      <c r="D156" s="491"/>
    </row>
    <row r="157" customFormat="false" ht="12.8" hidden="false" customHeight="false" outlineLevel="0" collapsed="false">
      <c r="B157" s="490"/>
      <c r="C157" s="491"/>
      <c r="D157" s="491"/>
    </row>
  </sheetData>
  <autoFilter ref="A1:I160"/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true" outlineLevelRow="0" outlineLevelCol="0"/>
  <cols>
    <col collapsed="false" customWidth="true" hidden="false" outlineLevel="0" max="1" min="1" style="0" width="7.58"/>
    <col collapsed="false" customWidth="true" hidden="false" outlineLevel="0" max="12" min="2" style="0" width="14.92"/>
    <col collapsed="false" customWidth="true" hidden="false" outlineLevel="0" max="13" min="13" style="0" width="7.58"/>
    <col collapsed="false" customWidth="true" hidden="true" outlineLevel="0" max="64" min="14" style="0" width="14.92"/>
  </cols>
  <sheetData>
    <row r="1" customFormat="false" ht="30" hidden="false" customHeight="true" outlineLevel="0" collapsed="false">
      <c r="A1" s="507" t="s">
        <v>224</v>
      </c>
      <c r="B1" s="508" t="s">
        <v>1295</v>
      </c>
      <c r="C1" s="508"/>
      <c r="D1" s="508"/>
      <c r="E1" s="508" t="s">
        <v>1296</v>
      </c>
      <c r="F1" s="508"/>
      <c r="G1" s="508" t="s">
        <v>1297</v>
      </c>
      <c r="H1" s="508"/>
      <c r="I1" s="508"/>
      <c r="J1" s="508" t="s">
        <v>1298</v>
      </c>
      <c r="K1" s="508"/>
      <c r="L1" s="508"/>
      <c r="M1" s="509" t="s">
        <v>224</v>
      </c>
    </row>
    <row r="2" customFormat="false" ht="12.8" hidden="false" customHeight="false" outlineLevel="0" collapsed="false">
      <c r="A2" s="507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9"/>
    </row>
    <row r="3" customFormat="false" ht="12.8" hidden="false" customHeight="true" outlineLevel="0" collapsed="false">
      <c r="A3" s="507"/>
      <c r="B3" s="508" t="s">
        <v>1299</v>
      </c>
      <c r="C3" s="508" t="s">
        <v>1300</v>
      </c>
      <c r="D3" s="510" t="s">
        <v>1301</v>
      </c>
      <c r="E3" s="508" t="s">
        <v>1302</v>
      </c>
      <c r="F3" s="508" t="s">
        <v>1303</v>
      </c>
      <c r="G3" s="510" t="s">
        <v>1304</v>
      </c>
      <c r="H3" s="508" t="s">
        <v>1305</v>
      </c>
      <c r="I3" s="508" t="s">
        <v>1306</v>
      </c>
      <c r="J3" s="508" t="s">
        <v>1307</v>
      </c>
      <c r="K3" s="508" t="s">
        <v>1308</v>
      </c>
      <c r="L3" s="508" t="s">
        <v>1309</v>
      </c>
      <c r="M3" s="509"/>
    </row>
    <row r="4" customFormat="false" ht="12.8" hidden="false" customHeight="false" outlineLevel="0" collapsed="false">
      <c r="A4" s="507"/>
      <c r="B4" s="508"/>
      <c r="C4" s="508"/>
      <c r="D4" s="510"/>
      <c r="E4" s="508"/>
      <c r="F4" s="508"/>
      <c r="G4" s="510"/>
      <c r="H4" s="508"/>
      <c r="I4" s="508"/>
      <c r="J4" s="508"/>
      <c r="K4" s="508"/>
      <c r="L4" s="508"/>
      <c r="M4" s="509"/>
    </row>
    <row r="5" customFormat="false" ht="12.8" hidden="false" customHeight="false" outlineLevel="0" collapsed="false">
      <c r="A5" s="511" t="n">
        <v>40</v>
      </c>
      <c r="B5" s="512" t="n">
        <v>0.00314</v>
      </c>
      <c r="C5" s="513" t="n">
        <v>0.0799</v>
      </c>
      <c r="D5" s="514" t="n">
        <v>0.102</v>
      </c>
      <c r="E5" s="515" t="n">
        <v>318</v>
      </c>
      <c r="F5" s="516" t="n">
        <v>125</v>
      </c>
      <c r="G5" s="517" t="n">
        <v>0.00989</v>
      </c>
      <c r="H5" s="518" t="n">
        <f aca="false">I5/100</f>
        <v>5.01E-005</v>
      </c>
      <c r="I5" s="519" t="n">
        <v>0.00501</v>
      </c>
      <c r="J5" s="520" t="n">
        <v>3441</v>
      </c>
      <c r="K5" s="513" t="n">
        <f aca="false">J5*10</f>
        <v>34410</v>
      </c>
      <c r="L5" s="514" t="n">
        <v>1049</v>
      </c>
      <c r="M5" s="521" t="n">
        <v>40</v>
      </c>
    </row>
    <row r="6" customFormat="false" ht="12.8" hidden="false" customHeight="false" outlineLevel="0" collapsed="false">
      <c r="A6" s="522" t="n">
        <v>39</v>
      </c>
      <c r="B6" s="512" t="n">
        <v>0.00353</v>
      </c>
      <c r="C6" s="523" t="n">
        <v>0.0897</v>
      </c>
      <c r="D6" s="514" t="n">
        <v>0.114</v>
      </c>
      <c r="E6" s="524" t="n">
        <v>283</v>
      </c>
      <c r="F6" s="516" t="n">
        <v>111</v>
      </c>
      <c r="G6" s="525" t="n">
        <v>0.0125</v>
      </c>
      <c r="H6" s="518" t="n">
        <f aca="false">I6/100</f>
        <v>6.32E-005</v>
      </c>
      <c r="I6" s="526" t="n">
        <v>0.00632</v>
      </c>
      <c r="J6" s="520" t="n">
        <v>2729</v>
      </c>
      <c r="K6" s="523" t="n">
        <f aca="false">J6*10</f>
        <v>27290</v>
      </c>
      <c r="L6" s="514" t="n">
        <v>831.8</v>
      </c>
      <c r="M6" s="527" t="n">
        <v>39</v>
      </c>
    </row>
    <row r="7" customFormat="false" ht="12.8" hidden="false" customHeight="false" outlineLevel="0" collapsed="false">
      <c r="A7" s="511" t="n">
        <v>38</v>
      </c>
      <c r="B7" s="512" t="n">
        <v>0.00397</v>
      </c>
      <c r="C7" s="513" t="n">
        <v>0.101</v>
      </c>
      <c r="D7" s="514" t="n">
        <v>0.13</v>
      </c>
      <c r="E7" s="515" t="n">
        <v>252</v>
      </c>
      <c r="F7" s="516" t="n">
        <v>99.3</v>
      </c>
      <c r="G7" s="517" t="n">
        <v>0.0157</v>
      </c>
      <c r="H7" s="518" t="n">
        <f aca="false">I7/100</f>
        <v>7.97E-005</v>
      </c>
      <c r="I7" s="519" t="n">
        <v>0.00797</v>
      </c>
      <c r="J7" s="520" t="n">
        <v>2164</v>
      </c>
      <c r="K7" s="513" t="n">
        <f aca="false">J7*10</f>
        <v>21640</v>
      </c>
      <c r="L7" s="514" t="n">
        <v>659.6</v>
      </c>
      <c r="M7" s="521" t="n">
        <v>38</v>
      </c>
    </row>
    <row r="8" customFormat="false" ht="12.8" hidden="false" customHeight="false" outlineLevel="0" collapsed="false">
      <c r="A8" s="522" t="n">
        <v>37</v>
      </c>
      <c r="B8" s="512" t="n">
        <v>0.00445</v>
      </c>
      <c r="C8" s="523" t="n">
        <v>0.113</v>
      </c>
      <c r="D8" s="514" t="n">
        <v>0.145</v>
      </c>
      <c r="E8" s="524" t="n">
        <v>225</v>
      </c>
      <c r="F8" s="516" t="n">
        <v>88.4</v>
      </c>
      <c r="G8" s="525" t="n">
        <v>0.0198</v>
      </c>
      <c r="H8" s="518" t="n">
        <f aca="false">I8/100</f>
        <v>0.0001</v>
      </c>
      <c r="I8" s="526" t="n">
        <v>0.01</v>
      </c>
      <c r="J8" s="520" t="n">
        <v>1716</v>
      </c>
      <c r="K8" s="523" t="n">
        <f aca="false">J8*10</f>
        <v>17160</v>
      </c>
      <c r="L8" s="514" t="n">
        <v>523.1</v>
      </c>
      <c r="M8" s="527" t="n">
        <v>37</v>
      </c>
    </row>
    <row r="9" customFormat="false" ht="15.65" hidden="false" customHeight="false" outlineLevel="0" collapsed="false">
      <c r="A9" s="511" t="n">
        <v>36</v>
      </c>
      <c r="B9" s="528" t="n">
        <v>0.005</v>
      </c>
      <c r="C9" s="529" t="n">
        <v>0.127</v>
      </c>
      <c r="D9" s="530" t="n">
        <v>0.16</v>
      </c>
      <c r="E9" s="515" t="n">
        <v>200</v>
      </c>
      <c r="F9" s="516" t="n">
        <v>78.7</v>
      </c>
      <c r="G9" s="517" t="n">
        <v>0.025</v>
      </c>
      <c r="H9" s="518" t="n">
        <f aca="false">I9/100</f>
        <v>0.000127</v>
      </c>
      <c r="I9" s="519" t="n">
        <v>0.0127</v>
      </c>
      <c r="J9" s="520" t="n">
        <v>1361</v>
      </c>
      <c r="K9" s="513" t="n">
        <f aca="false">J9*10</f>
        <v>13610</v>
      </c>
      <c r="L9" s="514" t="n">
        <v>414.8</v>
      </c>
      <c r="M9" s="521" t="n">
        <v>36</v>
      </c>
    </row>
    <row r="10" customFormat="false" ht="12.8" hidden="false" customHeight="false" outlineLevel="0" collapsed="false">
      <c r="A10" s="522" t="n">
        <v>35</v>
      </c>
      <c r="B10" s="512" t="n">
        <v>0.00561</v>
      </c>
      <c r="C10" s="523" t="n">
        <v>0.143</v>
      </c>
      <c r="D10" s="514" t="n">
        <v>0.178</v>
      </c>
      <c r="E10" s="524" t="n">
        <v>178</v>
      </c>
      <c r="F10" s="516" t="n">
        <v>70.1</v>
      </c>
      <c r="G10" s="525" t="n">
        <v>0.0315</v>
      </c>
      <c r="H10" s="518" t="n">
        <f aca="false">I10/100</f>
        <v>0.00016</v>
      </c>
      <c r="I10" s="526" t="n">
        <v>0.016</v>
      </c>
      <c r="J10" s="520" t="n">
        <v>1079</v>
      </c>
      <c r="K10" s="523" t="n">
        <f aca="false">J10*10</f>
        <v>10790</v>
      </c>
      <c r="L10" s="514" t="n">
        <v>329</v>
      </c>
      <c r="M10" s="527" t="n">
        <v>35</v>
      </c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1"/>
      <c r="Y10" s="531"/>
      <c r="Z10" s="531"/>
      <c r="AA10" s="531"/>
      <c r="AB10" s="531"/>
      <c r="AC10" s="531"/>
      <c r="AD10" s="531"/>
      <c r="AE10" s="531"/>
      <c r="AF10" s="531"/>
      <c r="AG10" s="531"/>
      <c r="AH10" s="531"/>
      <c r="AI10" s="531"/>
      <c r="AJ10" s="531"/>
      <c r="AK10" s="531"/>
      <c r="AL10" s="531"/>
      <c r="AM10" s="531"/>
      <c r="AN10" s="531"/>
      <c r="AO10" s="531"/>
      <c r="AP10" s="531"/>
      <c r="AQ10" s="531"/>
      <c r="AR10" s="531"/>
      <c r="AS10" s="531"/>
      <c r="AT10" s="531"/>
      <c r="AU10" s="531"/>
      <c r="AV10" s="531"/>
      <c r="AW10" s="531"/>
      <c r="AX10" s="531"/>
      <c r="AY10" s="531"/>
      <c r="AZ10" s="531"/>
      <c r="BA10" s="531"/>
      <c r="BB10" s="531"/>
      <c r="BC10" s="531"/>
      <c r="BD10" s="531"/>
      <c r="BE10" s="531"/>
      <c r="BF10" s="531"/>
      <c r="BG10" s="531"/>
      <c r="BH10" s="531"/>
      <c r="BI10" s="531"/>
      <c r="BJ10" s="531"/>
      <c r="BK10" s="531"/>
      <c r="BL10" s="531"/>
    </row>
    <row r="11" customFormat="false" ht="12.8" hidden="false" customHeight="false" outlineLevel="0" collapsed="false">
      <c r="A11" s="511" t="n">
        <v>34</v>
      </c>
      <c r="B11" s="512" t="n">
        <v>0.0063</v>
      </c>
      <c r="C11" s="513" t="n">
        <v>0.16</v>
      </c>
      <c r="D11" s="514" t="n">
        <v>0.198</v>
      </c>
      <c r="E11" s="515" t="n">
        <v>159</v>
      </c>
      <c r="F11" s="516" t="n">
        <v>62.4</v>
      </c>
      <c r="G11" s="517" t="n">
        <v>0.0398</v>
      </c>
      <c r="H11" s="518" t="n">
        <f aca="false">I11/100</f>
        <v>0.000201</v>
      </c>
      <c r="I11" s="519" t="n">
        <v>0.0201</v>
      </c>
      <c r="J11" s="520" t="n">
        <v>856</v>
      </c>
      <c r="K11" s="513" t="n">
        <f aca="false">J11*10</f>
        <v>8560</v>
      </c>
      <c r="L11" s="514" t="n">
        <v>260.9</v>
      </c>
      <c r="M11" s="521" t="n">
        <v>34</v>
      </c>
    </row>
    <row r="12" customFormat="false" ht="12.8" hidden="false" customHeight="false" outlineLevel="0" collapsed="false">
      <c r="A12" s="522" t="n">
        <v>33</v>
      </c>
      <c r="B12" s="512" t="n">
        <v>0.00708</v>
      </c>
      <c r="C12" s="523" t="n">
        <v>0.18</v>
      </c>
      <c r="D12" s="514" t="n">
        <v>0.224</v>
      </c>
      <c r="E12" s="524" t="n">
        <v>141</v>
      </c>
      <c r="F12" s="516" t="n">
        <v>55.6</v>
      </c>
      <c r="G12" s="525" t="n">
        <v>0.0501</v>
      </c>
      <c r="H12" s="518" t="n">
        <f aca="false">I12/100</f>
        <v>0.000254</v>
      </c>
      <c r="I12" s="526" t="n">
        <v>0.0254</v>
      </c>
      <c r="J12" s="520" t="n">
        <v>678.8</v>
      </c>
      <c r="K12" s="523" t="n">
        <f aca="false">J12*10</f>
        <v>6788</v>
      </c>
      <c r="L12" s="514" t="n">
        <v>206.9</v>
      </c>
      <c r="M12" s="527" t="n">
        <v>33</v>
      </c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531"/>
      <c r="Y12" s="531"/>
      <c r="Z12" s="531"/>
      <c r="AA12" s="531"/>
      <c r="AB12" s="531"/>
      <c r="AC12" s="531"/>
      <c r="AD12" s="531"/>
      <c r="AE12" s="531"/>
      <c r="AF12" s="531"/>
      <c r="AG12" s="531"/>
      <c r="AH12" s="531"/>
      <c r="AI12" s="531"/>
      <c r="AJ12" s="531"/>
      <c r="AK12" s="531"/>
      <c r="AL12" s="531"/>
      <c r="AM12" s="531"/>
      <c r="AN12" s="531"/>
      <c r="AO12" s="531"/>
      <c r="AP12" s="531"/>
      <c r="AQ12" s="531"/>
      <c r="AR12" s="531"/>
      <c r="AS12" s="531"/>
      <c r="AT12" s="531"/>
      <c r="AU12" s="531"/>
      <c r="AV12" s="531"/>
      <c r="AW12" s="531"/>
      <c r="AX12" s="531"/>
      <c r="AY12" s="531"/>
      <c r="AZ12" s="531"/>
      <c r="BA12" s="531"/>
      <c r="BB12" s="531"/>
      <c r="BC12" s="531"/>
      <c r="BD12" s="531"/>
      <c r="BE12" s="531"/>
      <c r="BF12" s="531"/>
      <c r="BG12" s="531"/>
      <c r="BH12" s="531"/>
      <c r="BI12" s="531"/>
      <c r="BJ12" s="531"/>
      <c r="BK12" s="531"/>
      <c r="BL12" s="531"/>
    </row>
    <row r="13" customFormat="false" ht="12.8" hidden="false" customHeight="false" outlineLevel="0" collapsed="false">
      <c r="A13" s="511" t="n">
        <v>32</v>
      </c>
      <c r="B13" s="512" t="n">
        <v>0.00795</v>
      </c>
      <c r="C13" s="513" t="n">
        <v>0.202</v>
      </c>
      <c r="D13" s="514" t="n">
        <v>0.249</v>
      </c>
      <c r="E13" s="515" t="n">
        <v>126</v>
      </c>
      <c r="F13" s="516" t="n">
        <v>49.5</v>
      </c>
      <c r="G13" s="517" t="n">
        <v>0.0632</v>
      </c>
      <c r="H13" s="518" t="n">
        <f aca="false">I13/100</f>
        <v>0.00032</v>
      </c>
      <c r="I13" s="519" t="n">
        <v>0.032</v>
      </c>
      <c r="J13" s="520" t="n">
        <v>538.3</v>
      </c>
      <c r="K13" s="513" t="n">
        <f aca="false">J13*10</f>
        <v>5383</v>
      </c>
      <c r="L13" s="514" t="n">
        <v>164.1</v>
      </c>
      <c r="M13" s="521" t="n">
        <v>32</v>
      </c>
    </row>
    <row r="14" customFormat="false" ht="12.8" hidden="false" customHeight="false" outlineLevel="0" collapsed="false">
      <c r="A14" s="522" t="n">
        <v>31</v>
      </c>
      <c r="B14" s="512" t="n">
        <v>0.00893</v>
      </c>
      <c r="C14" s="523" t="n">
        <v>0.227</v>
      </c>
      <c r="D14" s="514" t="n">
        <v>0.274</v>
      </c>
      <c r="E14" s="524" t="n">
        <v>112</v>
      </c>
      <c r="F14" s="516" t="n">
        <v>44.1</v>
      </c>
      <c r="G14" s="525" t="n">
        <v>0.0797</v>
      </c>
      <c r="H14" s="518" t="n">
        <f aca="false">I14/100</f>
        <v>0.000404</v>
      </c>
      <c r="I14" s="526" t="n">
        <v>0.0404</v>
      </c>
      <c r="J14" s="520" t="n">
        <v>426.9</v>
      </c>
      <c r="K14" s="523" t="n">
        <f aca="false">J14*10</f>
        <v>4269</v>
      </c>
      <c r="L14" s="514" t="n">
        <v>130.1</v>
      </c>
      <c r="M14" s="527" t="n">
        <v>31</v>
      </c>
      <c r="N14" s="531"/>
      <c r="O14" s="531"/>
      <c r="P14" s="531"/>
      <c r="Q14" s="531"/>
      <c r="R14" s="531"/>
      <c r="S14" s="531"/>
      <c r="T14" s="531"/>
      <c r="U14" s="531"/>
      <c r="V14" s="531"/>
      <c r="W14" s="531"/>
      <c r="X14" s="531"/>
      <c r="Y14" s="531"/>
      <c r="Z14" s="531"/>
      <c r="AA14" s="531"/>
      <c r="AB14" s="531"/>
      <c r="AC14" s="531"/>
      <c r="AD14" s="531"/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  <c r="AW14" s="531"/>
      <c r="AX14" s="531"/>
      <c r="AY14" s="531"/>
      <c r="AZ14" s="531"/>
      <c r="BA14" s="531"/>
      <c r="BB14" s="531"/>
      <c r="BC14" s="531"/>
      <c r="BD14" s="531"/>
      <c r="BE14" s="531"/>
      <c r="BF14" s="531"/>
      <c r="BG14" s="531"/>
      <c r="BH14" s="531"/>
      <c r="BI14" s="531"/>
      <c r="BJ14" s="531"/>
      <c r="BK14" s="531"/>
      <c r="BL14" s="531"/>
    </row>
    <row r="15" customFormat="false" ht="12.8" hidden="false" customHeight="false" outlineLevel="0" collapsed="false">
      <c r="A15" s="511" t="n">
        <v>30</v>
      </c>
      <c r="B15" s="512" t="n">
        <v>0.01</v>
      </c>
      <c r="C15" s="513" t="n">
        <v>0.255</v>
      </c>
      <c r="D15" s="514" t="n">
        <v>0.302</v>
      </c>
      <c r="E15" s="515" t="n">
        <v>99.7</v>
      </c>
      <c r="F15" s="516" t="n">
        <v>39.3</v>
      </c>
      <c r="G15" s="517" t="n">
        <v>0.101</v>
      </c>
      <c r="H15" s="518" t="n">
        <f aca="false">I15/100</f>
        <v>0.000509</v>
      </c>
      <c r="I15" s="519" t="n">
        <v>0.0509</v>
      </c>
      <c r="J15" s="520" t="n">
        <v>338.6</v>
      </c>
      <c r="K15" s="513" t="n">
        <f aca="false">J15*10</f>
        <v>3386</v>
      </c>
      <c r="L15" s="514" t="n">
        <v>103.2</v>
      </c>
      <c r="M15" s="521" t="n">
        <v>30</v>
      </c>
    </row>
    <row r="16" customFormat="false" ht="12.8" hidden="false" customHeight="false" outlineLevel="0" collapsed="false">
      <c r="A16" s="522" t="n">
        <v>29</v>
      </c>
      <c r="B16" s="512" t="n">
        <v>0.0113</v>
      </c>
      <c r="C16" s="523" t="n">
        <v>0.286</v>
      </c>
      <c r="D16" s="514" t="n">
        <v>0.338</v>
      </c>
      <c r="E16" s="524" t="n">
        <v>88.8</v>
      </c>
      <c r="F16" s="516" t="n">
        <v>35</v>
      </c>
      <c r="G16" s="525" t="n">
        <v>0.127</v>
      </c>
      <c r="H16" s="518" t="n">
        <f aca="false">I16/100</f>
        <v>0.000642</v>
      </c>
      <c r="I16" s="526" t="n">
        <v>0.0642</v>
      </c>
      <c r="J16" s="520" t="n">
        <v>268.5</v>
      </c>
      <c r="K16" s="523" t="n">
        <f aca="false">J16*10</f>
        <v>2685</v>
      </c>
      <c r="L16" s="514" t="n">
        <v>81.84</v>
      </c>
      <c r="M16" s="527" t="n">
        <v>29</v>
      </c>
      <c r="N16" s="531"/>
      <c r="O16" s="531"/>
      <c r="P16" s="531"/>
      <c r="Q16" s="531"/>
      <c r="R16" s="531"/>
      <c r="S16" s="531"/>
      <c r="T16" s="531"/>
      <c r="U16" s="531"/>
      <c r="V16" s="531"/>
      <c r="W16" s="531"/>
      <c r="X16" s="531"/>
      <c r="Y16" s="531"/>
      <c r="Z16" s="531"/>
      <c r="AA16" s="531"/>
      <c r="AB16" s="531"/>
      <c r="AC16" s="531"/>
      <c r="AD16" s="531"/>
      <c r="AE16" s="531"/>
      <c r="AF16" s="531"/>
      <c r="AG16" s="531"/>
      <c r="AH16" s="531"/>
      <c r="AI16" s="531"/>
      <c r="AJ16" s="531"/>
      <c r="AK16" s="531"/>
      <c r="AL16" s="531"/>
      <c r="AM16" s="531"/>
      <c r="AN16" s="531"/>
      <c r="AO16" s="531"/>
      <c r="AP16" s="531"/>
      <c r="AQ16" s="531"/>
      <c r="AR16" s="531"/>
      <c r="AS16" s="531"/>
      <c r="AT16" s="531"/>
      <c r="AU16" s="531"/>
      <c r="AV16" s="531"/>
      <c r="AW16" s="531"/>
      <c r="AX16" s="531"/>
      <c r="AY16" s="531"/>
      <c r="AZ16" s="531"/>
      <c r="BA16" s="531"/>
      <c r="BB16" s="531"/>
      <c r="BC16" s="531"/>
      <c r="BD16" s="531"/>
      <c r="BE16" s="531"/>
      <c r="BF16" s="531"/>
      <c r="BG16" s="531"/>
      <c r="BH16" s="531"/>
      <c r="BI16" s="531"/>
      <c r="BJ16" s="531"/>
      <c r="BK16" s="531"/>
      <c r="BL16" s="531"/>
    </row>
    <row r="17" customFormat="false" ht="12.8" hidden="false" customHeight="false" outlineLevel="0" collapsed="false">
      <c r="A17" s="511" t="n">
        <v>28</v>
      </c>
      <c r="B17" s="512" t="n">
        <v>0.0126</v>
      </c>
      <c r="C17" s="513" t="n">
        <v>0.321</v>
      </c>
      <c r="D17" s="514" t="n">
        <v>0.373</v>
      </c>
      <c r="E17" s="515" t="n">
        <v>79.1</v>
      </c>
      <c r="F17" s="516" t="n">
        <v>31.1</v>
      </c>
      <c r="G17" s="517" t="n">
        <v>0.16</v>
      </c>
      <c r="H17" s="518" t="n">
        <f aca="false">I17/100</f>
        <v>0.00081</v>
      </c>
      <c r="I17" s="519" t="n">
        <v>0.081</v>
      </c>
      <c r="J17" s="520" t="n">
        <v>212.9</v>
      </c>
      <c r="K17" s="513" t="n">
        <f aca="false">J17*10</f>
        <v>2129</v>
      </c>
      <c r="L17" s="514" t="n">
        <v>64.9</v>
      </c>
      <c r="M17" s="521" t="n">
        <v>28</v>
      </c>
    </row>
    <row r="18" customFormat="false" ht="12.8" hidden="false" customHeight="false" outlineLevel="0" collapsed="false">
      <c r="A18" s="522" t="n">
        <v>27</v>
      </c>
      <c r="B18" s="512" t="n">
        <v>0.0142</v>
      </c>
      <c r="C18" s="523" t="n">
        <v>0.361</v>
      </c>
      <c r="D18" s="514" t="n">
        <v>0.417</v>
      </c>
      <c r="E18" s="524" t="n">
        <v>70.4</v>
      </c>
      <c r="F18" s="516" t="n">
        <v>27.7</v>
      </c>
      <c r="G18" s="525" t="n">
        <v>0.202</v>
      </c>
      <c r="H18" s="518" t="n">
        <f aca="false">I18/100</f>
        <v>0.00102</v>
      </c>
      <c r="I18" s="526" t="n">
        <v>0.102</v>
      </c>
      <c r="J18" s="520" t="n">
        <v>168.9</v>
      </c>
      <c r="K18" s="523" t="n">
        <f aca="false">J18*10</f>
        <v>1689</v>
      </c>
      <c r="L18" s="514" t="n">
        <v>51.47</v>
      </c>
      <c r="M18" s="527" t="n">
        <v>27</v>
      </c>
      <c r="N18" s="531"/>
      <c r="O18" s="531"/>
      <c r="P18" s="531"/>
      <c r="Q18" s="531"/>
      <c r="R18" s="531"/>
      <c r="S18" s="531"/>
      <c r="T18" s="531"/>
      <c r="U18" s="531"/>
      <c r="V18" s="531"/>
      <c r="W18" s="531"/>
      <c r="X18" s="531"/>
      <c r="Y18" s="531"/>
      <c r="Z18" s="531"/>
      <c r="AA18" s="531"/>
      <c r="AB18" s="531"/>
      <c r="AC18" s="531"/>
      <c r="AD18" s="531"/>
      <c r="AE18" s="531"/>
      <c r="AF18" s="531"/>
      <c r="AG18" s="531"/>
      <c r="AH18" s="531"/>
      <c r="AI18" s="531"/>
      <c r="AJ18" s="531"/>
      <c r="AK18" s="531"/>
      <c r="AL18" s="531"/>
      <c r="AM18" s="531"/>
      <c r="AN18" s="531"/>
      <c r="AO18" s="531"/>
      <c r="AP18" s="531"/>
      <c r="AQ18" s="531"/>
      <c r="AR18" s="531"/>
      <c r="AS18" s="531"/>
      <c r="AT18" s="531"/>
      <c r="AU18" s="531"/>
      <c r="AV18" s="531"/>
      <c r="AW18" s="531"/>
      <c r="AX18" s="531"/>
      <c r="AY18" s="531"/>
      <c r="AZ18" s="531"/>
      <c r="BA18" s="531"/>
      <c r="BB18" s="531"/>
      <c r="BC18" s="531"/>
      <c r="BD18" s="531"/>
      <c r="BE18" s="531"/>
      <c r="BF18" s="531"/>
      <c r="BG18" s="531"/>
      <c r="BH18" s="531"/>
      <c r="BI18" s="531"/>
      <c r="BJ18" s="531"/>
      <c r="BK18" s="531"/>
      <c r="BL18" s="531"/>
    </row>
    <row r="19" customFormat="false" ht="12.8" hidden="false" customHeight="false" outlineLevel="0" collapsed="false">
      <c r="A19" s="511" t="n">
        <v>26</v>
      </c>
      <c r="B19" s="512" t="n">
        <v>0.0159</v>
      </c>
      <c r="C19" s="513" t="n">
        <v>0.405</v>
      </c>
      <c r="D19" s="514" t="n">
        <v>0.462</v>
      </c>
      <c r="E19" s="515" t="n">
        <v>62.7</v>
      </c>
      <c r="F19" s="516" t="n">
        <v>24.7</v>
      </c>
      <c r="G19" s="517" t="n">
        <v>0.254</v>
      </c>
      <c r="H19" s="518" t="n">
        <f aca="false">I19/100</f>
        <v>0.00129</v>
      </c>
      <c r="I19" s="519" t="n">
        <v>0.129</v>
      </c>
      <c r="J19" s="520" t="n">
        <v>133.9</v>
      </c>
      <c r="K19" s="513" t="n">
        <f aca="false">J19*10</f>
        <v>1339</v>
      </c>
      <c r="L19" s="514" t="n">
        <v>40.81</v>
      </c>
      <c r="M19" s="521" t="n">
        <v>26</v>
      </c>
    </row>
    <row r="20" customFormat="false" ht="12.8" hidden="false" customHeight="false" outlineLevel="0" collapsed="false">
      <c r="A20" s="522" t="n">
        <v>25</v>
      </c>
      <c r="B20" s="512" t="n">
        <v>0.0179</v>
      </c>
      <c r="C20" s="523" t="n">
        <v>0.455</v>
      </c>
      <c r="D20" s="514" t="n">
        <v>0.516</v>
      </c>
      <c r="E20" s="524" t="n">
        <v>55.9</v>
      </c>
      <c r="F20" s="516" t="n">
        <v>22</v>
      </c>
      <c r="G20" s="525" t="n">
        <v>0.32</v>
      </c>
      <c r="H20" s="518" t="n">
        <f aca="false">I20/100</f>
        <v>0.00162</v>
      </c>
      <c r="I20" s="526" t="n">
        <v>0.162</v>
      </c>
      <c r="J20" s="520" t="n">
        <v>106.2</v>
      </c>
      <c r="K20" s="523" t="n">
        <f aca="false">J20*10</f>
        <v>1062</v>
      </c>
      <c r="L20" s="514" t="n">
        <v>32.37</v>
      </c>
      <c r="M20" s="527" t="n">
        <v>25</v>
      </c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531"/>
      <c r="Y20" s="531"/>
      <c r="Z20" s="531"/>
      <c r="AA20" s="531"/>
      <c r="AB20" s="531"/>
      <c r="AC20" s="531"/>
      <c r="AD20" s="531"/>
      <c r="AE20" s="531"/>
      <c r="AF20" s="531"/>
      <c r="AG20" s="531"/>
      <c r="AH20" s="531"/>
      <c r="AI20" s="531"/>
      <c r="AJ20" s="531"/>
      <c r="AK20" s="531"/>
      <c r="AL20" s="531"/>
      <c r="AM20" s="531"/>
      <c r="AN20" s="531"/>
      <c r="AO20" s="531"/>
      <c r="AP20" s="531"/>
      <c r="AQ20" s="531"/>
      <c r="AR20" s="531"/>
      <c r="AS20" s="531"/>
      <c r="AT20" s="531"/>
      <c r="AU20" s="531"/>
      <c r="AV20" s="531"/>
      <c r="AW20" s="531"/>
      <c r="AX20" s="531"/>
      <c r="AY20" s="531"/>
      <c r="AZ20" s="531"/>
      <c r="BA20" s="531"/>
      <c r="BB20" s="531"/>
      <c r="BC20" s="531"/>
      <c r="BD20" s="531"/>
      <c r="BE20" s="531"/>
      <c r="BF20" s="531"/>
      <c r="BG20" s="531"/>
      <c r="BH20" s="531"/>
      <c r="BI20" s="531"/>
      <c r="BJ20" s="531"/>
      <c r="BK20" s="531"/>
      <c r="BL20" s="531"/>
    </row>
    <row r="21" customFormat="false" ht="12.8" hidden="false" customHeight="false" outlineLevel="0" collapsed="false">
      <c r="A21" s="511" t="n">
        <v>24</v>
      </c>
      <c r="B21" s="512" t="n">
        <v>0.0201</v>
      </c>
      <c r="C21" s="513" t="n">
        <v>0.511</v>
      </c>
      <c r="D21" s="514" t="n">
        <v>0.577</v>
      </c>
      <c r="E21" s="515" t="n">
        <v>49.7</v>
      </c>
      <c r="F21" s="516" t="n">
        <v>19.6</v>
      </c>
      <c r="G21" s="517" t="n">
        <v>0.404</v>
      </c>
      <c r="H21" s="518" t="n">
        <f aca="false">I21/100</f>
        <v>0.00205</v>
      </c>
      <c r="I21" s="519" t="n">
        <v>0.205</v>
      </c>
      <c r="J21" s="520" t="n">
        <v>84.22</v>
      </c>
      <c r="K21" s="513" t="n">
        <f aca="false">J21*10</f>
        <v>842.2</v>
      </c>
      <c r="L21" s="514" t="n">
        <v>25.67</v>
      </c>
      <c r="M21" s="521" t="n">
        <v>24</v>
      </c>
    </row>
    <row r="22" customFormat="false" ht="12.8" hidden="false" customHeight="false" outlineLevel="0" collapsed="false">
      <c r="A22" s="522" t="n">
        <v>23</v>
      </c>
      <c r="B22" s="512" t="n">
        <v>0.0226</v>
      </c>
      <c r="C22" s="523" t="n">
        <v>0.573</v>
      </c>
      <c r="D22" s="514" t="n">
        <v>0.642</v>
      </c>
      <c r="E22" s="524" t="n">
        <v>44.3</v>
      </c>
      <c r="F22" s="516" t="n">
        <v>17.4</v>
      </c>
      <c r="G22" s="525" t="n">
        <v>0.509</v>
      </c>
      <c r="H22" s="518" t="n">
        <f aca="false">I22/100</f>
        <v>0.00258</v>
      </c>
      <c r="I22" s="526" t="n">
        <v>0.258</v>
      </c>
      <c r="J22" s="520" t="n">
        <v>66.79</v>
      </c>
      <c r="K22" s="523" t="n">
        <f aca="false">J22*10</f>
        <v>667.9</v>
      </c>
      <c r="L22" s="514" t="n">
        <v>20.36</v>
      </c>
      <c r="M22" s="527" t="n">
        <v>23</v>
      </c>
      <c r="N22" s="531"/>
      <c r="O22" s="531"/>
      <c r="P22" s="531"/>
      <c r="Q22" s="531"/>
      <c r="R22" s="531"/>
      <c r="S22" s="531"/>
      <c r="T22" s="531"/>
      <c r="U22" s="531"/>
      <c r="V22" s="531"/>
      <c r="W22" s="531"/>
      <c r="X22" s="531"/>
      <c r="Y22" s="531"/>
      <c r="Z22" s="531"/>
      <c r="AA22" s="531"/>
      <c r="AB22" s="531"/>
      <c r="AC22" s="531"/>
      <c r="AD22" s="531"/>
      <c r="AE22" s="531"/>
      <c r="AF22" s="531"/>
      <c r="AG22" s="531"/>
      <c r="AH22" s="531"/>
      <c r="AI22" s="531"/>
      <c r="AJ22" s="531"/>
      <c r="AK22" s="531"/>
      <c r="AL22" s="531"/>
      <c r="AM22" s="531"/>
      <c r="AN22" s="531"/>
      <c r="AO22" s="531"/>
      <c r="AP22" s="531"/>
      <c r="AQ22" s="531"/>
      <c r="AR22" s="531"/>
      <c r="AS22" s="531"/>
      <c r="AT22" s="531"/>
      <c r="AU22" s="531"/>
      <c r="AV22" s="531"/>
      <c r="AW22" s="531"/>
      <c r="AX22" s="531"/>
      <c r="AY22" s="531"/>
      <c r="AZ22" s="531"/>
      <c r="BA22" s="531"/>
      <c r="BB22" s="531"/>
      <c r="BC22" s="531"/>
      <c r="BD22" s="531"/>
      <c r="BE22" s="531"/>
      <c r="BF22" s="531"/>
      <c r="BG22" s="531"/>
      <c r="BH22" s="531"/>
      <c r="BI22" s="531"/>
      <c r="BJ22" s="531"/>
      <c r="BK22" s="531"/>
      <c r="BL22" s="531"/>
    </row>
    <row r="23" customFormat="false" ht="12.8" hidden="false" customHeight="false" outlineLevel="0" collapsed="false">
      <c r="A23" s="511" t="n">
        <v>22</v>
      </c>
      <c r="B23" s="512" t="n">
        <v>0.0253</v>
      </c>
      <c r="C23" s="513" t="n">
        <v>0.644</v>
      </c>
      <c r="D23" s="514" t="n">
        <v>0.714</v>
      </c>
      <c r="E23" s="515" t="n">
        <v>39.5</v>
      </c>
      <c r="F23" s="516" t="n">
        <v>15.5</v>
      </c>
      <c r="G23" s="517" t="n">
        <v>0.642</v>
      </c>
      <c r="H23" s="518" t="n">
        <f aca="false">I23/100</f>
        <v>0.00326</v>
      </c>
      <c r="I23" s="519" t="n">
        <v>0.326</v>
      </c>
      <c r="J23" s="520" t="n">
        <v>52.96</v>
      </c>
      <c r="K23" s="513" t="n">
        <f aca="false">J23*10</f>
        <v>529.6</v>
      </c>
      <c r="L23" s="514" t="n">
        <v>16.14</v>
      </c>
      <c r="M23" s="521" t="n">
        <v>22</v>
      </c>
    </row>
    <row r="24" customFormat="false" ht="12.8" hidden="false" customHeight="false" outlineLevel="0" collapsed="false">
      <c r="A24" s="522" t="n">
        <v>21</v>
      </c>
      <c r="B24" s="512" t="n">
        <v>0.0285</v>
      </c>
      <c r="C24" s="523" t="n">
        <v>0.723</v>
      </c>
      <c r="D24" s="514" t="n">
        <v>0.798</v>
      </c>
      <c r="E24" s="524" t="n">
        <v>35.1</v>
      </c>
      <c r="F24" s="516" t="n">
        <v>13.8</v>
      </c>
      <c r="G24" s="525" t="n">
        <v>0.81</v>
      </c>
      <c r="H24" s="518" t="n">
        <f aca="false">I24/100</f>
        <v>0.0041</v>
      </c>
      <c r="I24" s="526" t="n">
        <v>0.41</v>
      </c>
      <c r="J24" s="520" t="n">
        <v>42</v>
      </c>
      <c r="K24" s="523" t="n">
        <f aca="false">J24*10</f>
        <v>420</v>
      </c>
      <c r="L24" s="514" t="n">
        <v>12.8</v>
      </c>
      <c r="M24" s="527" t="n">
        <v>21</v>
      </c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531"/>
      <c r="Y24" s="531"/>
      <c r="Z24" s="531"/>
      <c r="AA24" s="531"/>
      <c r="AB24" s="531"/>
      <c r="AC24" s="531"/>
      <c r="AD24" s="531"/>
      <c r="AE24" s="531"/>
      <c r="AF24" s="531"/>
      <c r="AG24" s="531"/>
      <c r="AH24" s="531"/>
      <c r="AI24" s="531"/>
      <c r="AJ24" s="531"/>
      <c r="AK24" s="531"/>
      <c r="AL24" s="531"/>
      <c r="AM24" s="531"/>
      <c r="AN24" s="531"/>
      <c r="AO24" s="531"/>
      <c r="AP24" s="531"/>
      <c r="AQ24" s="531"/>
      <c r="AR24" s="531"/>
      <c r="AS24" s="531"/>
      <c r="AT24" s="531"/>
      <c r="AU24" s="531"/>
      <c r="AV24" s="531"/>
      <c r="AW24" s="531"/>
      <c r="AX24" s="531"/>
      <c r="AY24" s="531"/>
      <c r="AZ24" s="531"/>
      <c r="BA24" s="531"/>
      <c r="BB24" s="531"/>
      <c r="BC24" s="531"/>
      <c r="BD24" s="531"/>
      <c r="BE24" s="531"/>
      <c r="BF24" s="531"/>
      <c r="BG24" s="531"/>
      <c r="BH24" s="531"/>
      <c r="BI24" s="531"/>
      <c r="BJ24" s="531"/>
      <c r="BK24" s="531"/>
      <c r="BL24" s="531"/>
    </row>
    <row r="25" customFormat="false" ht="12.8" hidden="false" customHeight="false" outlineLevel="0" collapsed="false">
      <c r="A25" s="511" t="n">
        <v>20</v>
      </c>
      <c r="B25" s="512" t="n">
        <v>0.032</v>
      </c>
      <c r="C25" s="513" t="n">
        <v>0.812</v>
      </c>
      <c r="D25" s="514" t="n">
        <v>0.892</v>
      </c>
      <c r="E25" s="515" t="n">
        <v>31.3</v>
      </c>
      <c r="F25" s="516" t="n">
        <v>12.3</v>
      </c>
      <c r="G25" s="517" t="n">
        <v>1.02</v>
      </c>
      <c r="H25" s="518" t="n">
        <f aca="false">I25/100</f>
        <v>0.00518</v>
      </c>
      <c r="I25" s="519" t="n">
        <v>0.518</v>
      </c>
      <c r="J25" s="520" t="n">
        <v>33.31</v>
      </c>
      <c r="K25" s="513" t="n">
        <f aca="false">J25*10</f>
        <v>333.1</v>
      </c>
      <c r="L25" s="514" t="n">
        <v>10.15</v>
      </c>
      <c r="M25" s="521" t="n">
        <v>20</v>
      </c>
    </row>
    <row r="26" customFormat="false" ht="12.8" hidden="false" customHeight="false" outlineLevel="0" collapsed="false">
      <c r="A26" s="522" t="n">
        <v>19</v>
      </c>
      <c r="B26" s="512" t="n">
        <v>0.0359</v>
      </c>
      <c r="C26" s="523" t="n">
        <v>0.912</v>
      </c>
      <c r="D26" s="514" t="n">
        <v>0.993</v>
      </c>
      <c r="E26" s="524" t="n">
        <v>27.9</v>
      </c>
      <c r="F26" s="516" t="n">
        <v>11</v>
      </c>
      <c r="G26" s="525" t="n">
        <v>1.29</v>
      </c>
      <c r="H26" s="518" t="n">
        <f aca="false">I26/100</f>
        <v>0.00653</v>
      </c>
      <c r="I26" s="526" t="n">
        <v>0.653</v>
      </c>
      <c r="J26" s="520" t="n">
        <v>26.42</v>
      </c>
      <c r="K26" s="523" t="n">
        <f aca="false">J26*10</f>
        <v>264.2</v>
      </c>
      <c r="L26" s="514" t="n">
        <v>8.051</v>
      </c>
      <c r="M26" s="527" t="n">
        <v>19</v>
      </c>
      <c r="N26" s="531"/>
      <c r="O26" s="531"/>
      <c r="P26" s="531"/>
      <c r="Q26" s="531"/>
      <c r="R26" s="531"/>
      <c r="S26" s="531"/>
      <c r="T26" s="531"/>
      <c r="U26" s="531"/>
      <c r="V26" s="531"/>
      <c r="W26" s="531"/>
      <c r="X26" s="531"/>
      <c r="Y26" s="531"/>
      <c r="Z26" s="531"/>
      <c r="AA26" s="531"/>
      <c r="AB26" s="531"/>
      <c r="AC26" s="531"/>
      <c r="AD26" s="531"/>
      <c r="AE26" s="531"/>
      <c r="AF26" s="531"/>
      <c r="AG26" s="531"/>
      <c r="AH26" s="531"/>
      <c r="AI26" s="531"/>
      <c r="AJ26" s="531"/>
      <c r="AK26" s="531"/>
      <c r="AL26" s="531"/>
      <c r="AM26" s="531"/>
      <c r="AN26" s="531"/>
      <c r="AO26" s="531"/>
      <c r="AP26" s="531"/>
      <c r="AQ26" s="531"/>
      <c r="AR26" s="531"/>
      <c r="AS26" s="531"/>
      <c r="AT26" s="531"/>
      <c r="AU26" s="531"/>
      <c r="AV26" s="531"/>
      <c r="AW26" s="531"/>
      <c r="AX26" s="531"/>
      <c r="AY26" s="531"/>
      <c r="AZ26" s="531"/>
      <c r="BA26" s="531"/>
      <c r="BB26" s="531"/>
      <c r="BC26" s="531"/>
      <c r="BD26" s="531"/>
      <c r="BE26" s="531"/>
      <c r="BF26" s="531"/>
      <c r="BG26" s="531"/>
      <c r="BH26" s="531"/>
      <c r="BI26" s="531"/>
      <c r="BJ26" s="531"/>
      <c r="BK26" s="531"/>
      <c r="BL26" s="531"/>
    </row>
    <row r="27" customFormat="false" ht="12.8" hidden="false" customHeight="false" outlineLevel="0" collapsed="false">
      <c r="A27" s="511" t="n">
        <v>18</v>
      </c>
      <c r="B27" s="512" t="n">
        <v>0.0403</v>
      </c>
      <c r="C27" s="513" t="n">
        <v>1.024</v>
      </c>
      <c r="D27" s="514" t="n">
        <v>1.11</v>
      </c>
      <c r="E27" s="515" t="n">
        <v>24.8</v>
      </c>
      <c r="F27" s="516" t="n">
        <v>9.77</v>
      </c>
      <c r="G27" s="517" t="n">
        <v>1.62</v>
      </c>
      <c r="H27" s="518" t="n">
        <f aca="false">I27/100</f>
        <v>0.00823</v>
      </c>
      <c r="I27" s="519" t="n">
        <v>0.823</v>
      </c>
      <c r="J27" s="520" t="n">
        <v>20.95</v>
      </c>
      <c r="K27" s="513" t="n">
        <f aca="false">J27*10</f>
        <v>209.5</v>
      </c>
      <c r="L27" s="514" t="n">
        <v>6.385</v>
      </c>
      <c r="M27" s="521" t="n">
        <v>18</v>
      </c>
    </row>
    <row r="28" customFormat="false" ht="12.8" hidden="false" customHeight="false" outlineLevel="0" collapsed="false">
      <c r="A28" s="522" t="n">
        <v>17</v>
      </c>
      <c r="B28" s="512" t="n">
        <v>0.0453</v>
      </c>
      <c r="C28" s="523" t="n">
        <v>1.15</v>
      </c>
      <c r="D28" s="514" t="n">
        <v>1.24</v>
      </c>
      <c r="E28" s="524" t="n">
        <v>22.1</v>
      </c>
      <c r="F28" s="516" t="n">
        <v>8.7</v>
      </c>
      <c r="G28" s="525" t="n">
        <v>2.05</v>
      </c>
      <c r="H28" s="518" t="n">
        <f aca="false">I28/100</f>
        <v>0.0104</v>
      </c>
      <c r="I28" s="526" t="n">
        <v>1.04</v>
      </c>
      <c r="J28" s="520" t="n">
        <v>16.61</v>
      </c>
      <c r="K28" s="523" t="n">
        <f aca="false">J28*10</f>
        <v>166.1</v>
      </c>
      <c r="L28" s="514" t="n">
        <v>5.064</v>
      </c>
      <c r="M28" s="527" t="n">
        <v>17</v>
      </c>
      <c r="N28" s="531"/>
      <c r="O28" s="531"/>
      <c r="P28" s="531"/>
      <c r="Q28" s="531"/>
      <c r="R28" s="531"/>
      <c r="S28" s="531"/>
      <c r="T28" s="531"/>
      <c r="U28" s="531"/>
      <c r="V28" s="531"/>
      <c r="W28" s="531"/>
      <c r="X28" s="531"/>
      <c r="Y28" s="531"/>
      <c r="Z28" s="531"/>
      <c r="AA28" s="531"/>
      <c r="AB28" s="531"/>
      <c r="AC28" s="531"/>
      <c r="AD28" s="531"/>
      <c r="AE28" s="531"/>
      <c r="AF28" s="531"/>
      <c r="AG28" s="531"/>
      <c r="AH28" s="531"/>
      <c r="AI28" s="531"/>
      <c r="AJ28" s="531"/>
      <c r="AK28" s="531"/>
      <c r="AL28" s="531"/>
      <c r="AM28" s="531"/>
      <c r="AN28" s="531"/>
      <c r="AO28" s="531"/>
      <c r="AP28" s="531"/>
      <c r="AQ28" s="531"/>
      <c r="AR28" s="531"/>
      <c r="AS28" s="531"/>
      <c r="AT28" s="531"/>
      <c r="AU28" s="531"/>
      <c r="AV28" s="531"/>
      <c r="AW28" s="531"/>
      <c r="AX28" s="531"/>
      <c r="AY28" s="531"/>
      <c r="AZ28" s="531"/>
      <c r="BA28" s="531"/>
      <c r="BB28" s="531"/>
      <c r="BC28" s="531"/>
      <c r="BD28" s="531"/>
      <c r="BE28" s="531"/>
      <c r="BF28" s="531"/>
      <c r="BG28" s="531"/>
      <c r="BH28" s="531"/>
      <c r="BI28" s="531"/>
      <c r="BJ28" s="531"/>
      <c r="BK28" s="531"/>
      <c r="BL28" s="531"/>
    </row>
    <row r="29" customFormat="false" ht="12.8" hidden="false" customHeight="false" outlineLevel="0" collapsed="false">
      <c r="A29" s="511" t="n">
        <v>16</v>
      </c>
      <c r="B29" s="512" t="n">
        <v>0.0508</v>
      </c>
      <c r="C29" s="513" t="n">
        <v>1.291</v>
      </c>
      <c r="D29" s="514" t="n">
        <v>1.384</v>
      </c>
      <c r="E29" s="515" t="n">
        <v>19.7</v>
      </c>
      <c r="F29" s="516" t="n">
        <v>7.75</v>
      </c>
      <c r="G29" s="517" t="n">
        <v>2.58</v>
      </c>
      <c r="H29" s="518" t="n">
        <f aca="false">I29/100</f>
        <v>0.0131</v>
      </c>
      <c r="I29" s="519" t="n">
        <v>1.31</v>
      </c>
      <c r="J29" s="520" t="n">
        <v>13.17</v>
      </c>
      <c r="K29" s="513" t="n">
        <f aca="false">J29*10</f>
        <v>131.7</v>
      </c>
      <c r="L29" s="514" t="n">
        <v>4.016</v>
      </c>
      <c r="M29" s="521" t="n">
        <v>16</v>
      </c>
    </row>
    <row r="30" customFormat="false" ht="12.8" hidden="false" customHeight="false" outlineLevel="0" collapsed="false">
      <c r="A30" s="522" t="n">
        <v>15</v>
      </c>
      <c r="B30" s="512" t="n">
        <v>0.0571</v>
      </c>
      <c r="C30" s="523" t="n">
        <v>1.45</v>
      </c>
      <c r="D30" s="514" t="n">
        <v>1.547</v>
      </c>
      <c r="E30" s="524" t="n">
        <v>17.5</v>
      </c>
      <c r="F30" s="516" t="n">
        <v>6.9</v>
      </c>
      <c r="G30" s="525" t="n">
        <v>3.26</v>
      </c>
      <c r="H30" s="518" t="n">
        <f aca="false">I30/100</f>
        <v>0.0165</v>
      </c>
      <c r="I30" s="526" t="n">
        <v>1.65</v>
      </c>
      <c r="J30" s="520" t="n">
        <v>10.45</v>
      </c>
      <c r="K30" s="523" t="n">
        <f aca="false">J30*10</f>
        <v>104.5</v>
      </c>
      <c r="L30" s="514" t="n">
        <v>3.184</v>
      </c>
      <c r="M30" s="527" t="n">
        <v>15</v>
      </c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531"/>
      <c r="Y30" s="531"/>
      <c r="Z30" s="531"/>
      <c r="AA30" s="531"/>
      <c r="AB30" s="531"/>
      <c r="AC30" s="531"/>
      <c r="AD30" s="531"/>
      <c r="AE30" s="531"/>
      <c r="AF30" s="531"/>
      <c r="AG30" s="531"/>
      <c r="AH30" s="531"/>
      <c r="AI30" s="531"/>
      <c r="AJ30" s="531"/>
      <c r="AK30" s="531"/>
      <c r="AL30" s="531"/>
      <c r="AM30" s="531"/>
      <c r="AN30" s="531"/>
      <c r="AO30" s="531"/>
      <c r="AP30" s="531"/>
      <c r="AQ30" s="531"/>
      <c r="AR30" s="531"/>
      <c r="AS30" s="531"/>
      <c r="AT30" s="531"/>
      <c r="AU30" s="531"/>
      <c r="AV30" s="531"/>
      <c r="AW30" s="531"/>
      <c r="AX30" s="531"/>
      <c r="AY30" s="531"/>
      <c r="AZ30" s="531"/>
      <c r="BA30" s="531"/>
      <c r="BB30" s="531"/>
      <c r="BC30" s="531"/>
      <c r="BD30" s="531"/>
      <c r="BE30" s="531"/>
      <c r="BF30" s="531"/>
      <c r="BG30" s="531"/>
      <c r="BH30" s="531"/>
      <c r="BI30" s="531"/>
      <c r="BJ30" s="531"/>
      <c r="BK30" s="531"/>
      <c r="BL30" s="531"/>
    </row>
    <row r="31" customFormat="false" ht="12.8" hidden="false" customHeight="false" outlineLevel="0" collapsed="false">
      <c r="A31" s="511" t="n">
        <v>14</v>
      </c>
      <c r="B31" s="512" t="n">
        <v>0.0641</v>
      </c>
      <c r="C31" s="513" t="n">
        <v>1.628</v>
      </c>
      <c r="D31" s="514" t="n">
        <v>1.732</v>
      </c>
      <c r="E31" s="515" t="n">
        <v>15.6</v>
      </c>
      <c r="F31" s="516" t="n">
        <v>6.14</v>
      </c>
      <c r="G31" s="517" t="n">
        <v>4.11</v>
      </c>
      <c r="H31" s="518" t="n">
        <f aca="false">I31/100</f>
        <v>0.0208</v>
      </c>
      <c r="I31" s="519" t="n">
        <v>2.08</v>
      </c>
      <c r="J31" s="520" t="n">
        <v>8.286</v>
      </c>
      <c r="K31" s="513" t="n">
        <f aca="false">J31*10</f>
        <v>82.86</v>
      </c>
      <c r="L31" s="514" t="n">
        <v>2.525</v>
      </c>
      <c r="M31" s="521" t="n">
        <v>14</v>
      </c>
    </row>
    <row r="32" customFormat="false" ht="12.8" hidden="false" customHeight="false" outlineLevel="0" collapsed="false">
      <c r="A32" s="522" t="n">
        <v>13</v>
      </c>
      <c r="B32" s="512" t="n">
        <v>0.072</v>
      </c>
      <c r="C32" s="523" t="n">
        <v>1.828</v>
      </c>
      <c r="D32" s="514" t="n">
        <v>1.934</v>
      </c>
      <c r="E32" s="524" t="n">
        <v>13.9</v>
      </c>
      <c r="F32" s="516" t="n">
        <v>5.47</v>
      </c>
      <c r="G32" s="525" t="n">
        <v>5.18</v>
      </c>
      <c r="H32" s="518" t="n">
        <f aca="false">I32/100</f>
        <v>0.0262</v>
      </c>
      <c r="I32" s="526" t="n">
        <v>2.62</v>
      </c>
      <c r="J32" s="520" t="n">
        <v>6.571</v>
      </c>
      <c r="K32" s="523" t="n">
        <f aca="false">J32*10</f>
        <v>65.71</v>
      </c>
      <c r="L32" s="514" t="n">
        <v>2.003</v>
      </c>
      <c r="M32" s="527" t="n">
        <v>13</v>
      </c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31"/>
      <c r="AC32" s="531"/>
      <c r="AD32" s="531"/>
      <c r="AE32" s="531"/>
      <c r="AF32" s="531"/>
      <c r="AG32" s="531"/>
      <c r="AH32" s="531"/>
      <c r="AI32" s="531"/>
      <c r="AJ32" s="531"/>
      <c r="AK32" s="531"/>
      <c r="AL32" s="531"/>
      <c r="AM32" s="531"/>
      <c r="AN32" s="531"/>
      <c r="AO32" s="531"/>
      <c r="AP32" s="531"/>
      <c r="AQ32" s="531"/>
      <c r="AR32" s="531"/>
      <c r="AS32" s="531"/>
      <c r="AT32" s="531"/>
      <c r="AU32" s="531"/>
      <c r="AV32" s="531"/>
      <c r="AW32" s="531"/>
      <c r="AX32" s="531"/>
      <c r="AY32" s="531"/>
      <c r="AZ32" s="531"/>
      <c r="BA32" s="531"/>
      <c r="BB32" s="531"/>
      <c r="BC32" s="531"/>
      <c r="BD32" s="531"/>
      <c r="BE32" s="531"/>
      <c r="BF32" s="531"/>
      <c r="BG32" s="531"/>
      <c r="BH32" s="531"/>
      <c r="BI32" s="531"/>
      <c r="BJ32" s="531"/>
      <c r="BK32" s="531"/>
      <c r="BL32" s="531"/>
    </row>
    <row r="33" customFormat="false" ht="12.8" hidden="false" customHeight="false" outlineLevel="0" collapsed="false">
      <c r="A33" s="511" t="n">
        <v>12</v>
      </c>
      <c r="B33" s="512" t="n">
        <v>0.0808</v>
      </c>
      <c r="C33" s="513" t="n">
        <v>2.053</v>
      </c>
      <c r="D33" s="514" t="n">
        <v>2.163</v>
      </c>
      <c r="E33" s="515" t="n">
        <v>12.4</v>
      </c>
      <c r="F33" s="516" t="n">
        <v>4.87</v>
      </c>
      <c r="G33" s="517" t="n">
        <v>6.53</v>
      </c>
      <c r="H33" s="518" t="n">
        <f aca="false">I33/100</f>
        <v>0.0331</v>
      </c>
      <c r="I33" s="519" t="n">
        <v>3.31</v>
      </c>
      <c r="J33" s="520" t="n">
        <v>5.211</v>
      </c>
      <c r="K33" s="513" t="n">
        <f aca="false">J33*10</f>
        <v>52.11</v>
      </c>
      <c r="L33" s="514" t="n">
        <v>1.588</v>
      </c>
      <c r="M33" s="521" t="n">
        <v>12</v>
      </c>
    </row>
    <row r="34" customFormat="false" ht="12.8" hidden="false" customHeight="false" outlineLevel="0" collapsed="false">
      <c r="A34" s="522" t="n">
        <v>11</v>
      </c>
      <c r="B34" s="512" t="n">
        <v>0.0907</v>
      </c>
      <c r="C34" s="523" t="n">
        <v>2.305</v>
      </c>
      <c r="D34" s="514" t="n">
        <v>2.418</v>
      </c>
      <c r="E34" s="524" t="n">
        <v>11</v>
      </c>
      <c r="F34" s="516" t="n">
        <v>4.34</v>
      </c>
      <c r="G34" s="525" t="n">
        <v>8.23</v>
      </c>
      <c r="H34" s="518" t="n">
        <f aca="false">I34/100</f>
        <v>0.0417</v>
      </c>
      <c r="I34" s="526" t="n">
        <v>4.17</v>
      </c>
      <c r="J34" s="520" t="n">
        <v>4.132</v>
      </c>
      <c r="K34" s="523" t="n">
        <f aca="false">J34*10</f>
        <v>41.32</v>
      </c>
      <c r="L34" s="514" t="n">
        <v>1.26</v>
      </c>
      <c r="M34" s="527" t="n">
        <v>11</v>
      </c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1"/>
      <c r="AE34" s="531"/>
      <c r="AF34" s="531"/>
      <c r="AG34" s="531"/>
      <c r="AH34" s="531"/>
      <c r="AI34" s="531"/>
      <c r="AJ34" s="531"/>
      <c r="AK34" s="531"/>
      <c r="AL34" s="531"/>
      <c r="AM34" s="531"/>
      <c r="AN34" s="531"/>
      <c r="AO34" s="531"/>
      <c r="AP34" s="531"/>
      <c r="AQ34" s="531"/>
      <c r="AR34" s="531"/>
      <c r="AS34" s="531"/>
      <c r="AT34" s="531"/>
      <c r="AU34" s="531"/>
      <c r="AV34" s="531"/>
      <c r="AW34" s="531"/>
      <c r="AX34" s="531"/>
      <c r="AY34" s="531"/>
      <c r="AZ34" s="531"/>
      <c r="BA34" s="531"/>
      <c r="BB34" s="531"/>
      <c r="BC34" s="531"/>
      <c r="BD34" s="531"/>
      <c r="BE34" s="531"/>
      <c r="BF34" s="531"/>
      <c r="BG34" s="531"/>
      <c r="BH34" s="531"/>
      <c r="BI34" s="531"/>
      <c r="BJ34" s="531"/>
      <c r="BK34" s="531"/>
      <c r="BL34" s="531"/>
    </row>
    <row r="35" customFormat="false" ht="12.8" hidden="false" customHeight="false" outlineLevel="0" collapsed="false">
      <c r="A35" s="511" t="n">
        <v>10</v>
      </c>
      <c r="B35" s="512" t="n">
        <v>0.1019</v>
      </c>
      <c r="C35" s="513" t="n">
        <v>2.588</v>
      </c>
      <c r="D35" s="514" t="n">
        <v>2.703</v>
      </c>
      <c r="E35" s="515" t="n">
        <v>9.81</v>
      </c>
      <c r="F35" s="516" t="n">
        <v>3.86</v>
      </c>
      <c r="G35" s="517" t="n">
        <v>10.4</v>
      </c>
      <c r="H35" s="518" t="n">
        <f aca="false">I35/100</f>
        <v>0.0526</v>
      </c>
      <c r="I35" s="519" t="n">
        <v>5.26</v>
      </c>
      <c r="J35" s="520" t="n">
        <v>3.277</v>
      </c>
      <c r="K35" s="513" t="n">
        <f aca="false">J35*10</f>
        <v>32.77</v>
      </c>
      <c r="L35" s="514" t="n">
        <v>0.9989</v>
      </c>
      <c r="M35" s="521" t="n">
        <v>10</v>
      </c>
    </row>
    <row r="36" customFormat="false" ht="12.8" hidden="false" customHeight="false" outlineLevel="0" collapsed="false">
      <c r="A36" s="522" t="n">
        <v>9</v>
      </c>
      <c r="B36" s="512" t="n">
        <v>0.1144</v>
      </c>
      <c r="C36" s="523" t="n">
        <v>2.906</v>
      </c>
      <c r="D36" s="514" t="n">
        <v>0</v>
      </c>
      <c r="E36" s="524" t="n">
        <v>8.74</v>
      </c>
      <c r="F36" s="516" t="n">
        <v>3.44</v>
      </c>
      <c r="G36" s="525" t="n">
        <v>13.1</v>
      </c>
      <c r="H36" s="518" t="n">
        <f aca="false">I36/100</f>
        <v>0.0663</v>
      </c>
      <c r="I36" s="526" t="n">
        <v>6.63</v>
      </c>
      <c r="J36" s="520" t="n">
        <v>2.599</v>
      </c>
      <c r="K36" s="523" t="n">
        <f aca="false">J36*10</f>
        <v>25.99</v>
      </c>
      <c r="L36" s="514" t="n">
        <v>0.7921</v>
      </c>
      <c r="M36" s="527" t="n">
        <v>9</v>
      </c>
      <c r="N36" s="531"/>
      <c r="O36" s="531"/>
      <c r="P36" s="531"/>
      <c r="Q36" s="531"/>
      <c r="R36" s="531"/>
      <c r="S36" s="531"/>
      <c r="T36" s="531"/>
      <c r="U36" s="531"/>
      <c r="V36" s="531"/>
      <c r="W36" s="531"/>
      <c r="X36" s="531"/>
      <c r="Y36" s="531"/>
      <c r="Z36" s="531"/>
      <c r="AA36" s="531"/>
      <c r="AB36" s="531"/>
      <c r="AC36" s="531"/>
      <c r="AD36" s="531"/>
      <c r="AE36" s="531"/>
      <c r="AF36" s="531"/>
      <c r="AG36" s="531"/>
      <c r="AH36" s="531"/>
      <c r="AI36" s="531"/>
      <c r="AJ36" s="531"/>
      <c r="AK36" s="531"/>
      <c r="AL36" s="531"/>
      <c r="AM36" s="531"/>
      <c r="AN36" s="531"/>
      <c r="AO36" s="531"/>
      <c r="AP36" s="531"/>
      <c r="AQ36" s="531"/>
      <c r="AR36" s="531"/>
      <c r="AS36" s="531"/>
      <c r="AT36" s="531"/>
      <c r="AU36" s="531"/>
      <c r="AV36" s="531"/>
      <c r="AW36" s="531"/>
      <c r="AX36" s="531"/>
      <c r="AY36" s="531"/>
      <c r="AZ36" s="531"/>
      <c r="BA36" s="531"/>
      <c r="BB36" s="531"/>
      <c r="BC36" s="531"/>
      <c r="BD36" s="531"/>
      <c r="BE36" s="531"/>
      <c r="BF36" s="531"/>
      <c r="BG36" s="531"/>
      <c r="BH36" s="531"/>
      <c r="BI36" s="531"/>
      <c r="BJ36" s="531"/>
      <c r="BK36" s="531"/>
      <c r="BL36" s="531"/>
    </row>
    <row r="37" customFormat="false" ht="12.8" hidden="false" customHeight="false" outlineLevel="0" collapsed="false">
      <c r="A37" s="511" t="n">
        <v>8</v>
      </c>
      <c r="B37" s="512" t="n">
        <v>0.1285</v>
      </c>
      <c r="C37" s="513" t="n">
        <v>3.264</v>
      </c>
      <c r="D37" s="514" t="n">
        <v>0</v>
      </c>
      <c r="E37" s="515" t="n">
        <v>7.78</v>
      </c>
      <c r="F37" s="516" t="n">
        <v>3.06</v>
      </c>
      <c r="G37" s="517" t="n">
        <v>16.5</v>
      </c>
      <c r="H37" s="518" t="n">
        <f aca="false">I37/100</f>
        <v>0.0837</v>
      </c>
      <c r="I37" s="519" t="n">
        <v>8.37</v>
      </c>
      <c r="J37" s="520" t="n">
        <v>2.061</v>
      </c>
      <c r="K37" s="513" t="n">
        <f aca="false">J37*10</f>
        <v>20.61</v>
      </c>
      <c r="L37" s="514" t="n">
        <v>0.6282</v>
      </c>
      <c r="M37" s="521" t="n">
        <v>8</v>
      </c>
    </row>
    <row r="38" customFormat="false" ht="12.8" hidden="false" customHeight="false" outlineLevel="0" collapsed="false">
      <c r="A38" s="522" t="n">
        <v>7</v>
      </c>
      <c r="B38" s="512" t="n">
        <v>0.1443</v>
      </c>
      <c r="C38" s="523" t="n">
        <v>3.665</v>
      </c>
      <c r="D38" s="514" t="n">
        <v>0</v>
      </c>
      <c r="E38" s="524" t="n">
        <v>6.93</v>
      </c>
      <c r="F38" s="516" t="n">
        <v>2.73</v>
      </c>
      <c r="G38" s="525" t="n">
        <v>20.8</v>
      </c>
      <c r="H38" s="518" t="n">
        <f aca="false">I38/100</f>
        <v>0.105</v>
      </c>
      <c r="I38" s="526" t="n">
        <v>10.5</v>
      </c>
      <c r="J38" s="520" t="n">
        <v>1.634</v>
      </c>
      <c r="K38" s="523" t="n">
        <f aca="false">J38*10</f>
        <v>16.34</v>
      </c>
      <c r="L38" s="514" t="n">
        <v>0.4982</v>
      </c>
      <c r="M38" s="527" t="n">
        <v>7</v>
      </c>
      <c r="N38" s="531"/>
      <c r="O38" s="531"/>
      <c r="P38" s="531"/>
      <c r="Q38" s="531"/>
      <c r="R38" s="531"/>
      <c r="S38" s="531"/>
      <c r="T38" s="531"/>
      <c r="U38" s="531"/>
      <c r="V38" s="531"/>
      <c r="W38" s="531"/>
      <c r="X38" s="531"/>
      <c r="Y38" s="531"/>
      <c r="Z38" s="531"/>
      <c r="AA38" s="531"/>
      <c r="AB38" s="531"/>
      <c r="AC38" s="531"/>
      <c r="AD38" s="531"/>
      <c r="AE38" s="531"/>
      <c r="AF38" s="531"/>
      <c r="AG38" s="531"/>
      <c r="AH38" s="531"/>
      <c r="AI38" s="531"/>
      <c r="AJ38" s="531"/>
      <c r="AK38" s="531"/>
      <c r="AL38" s="531"/>
      <c r="AM38" s="531"/>
      <c r="AN38" s="531"/>
      <c r="AO38" s="531"/>
      <c r="AP38" s="531"/>
      <c r="AQ38" s="531"/>
      <c r="AR38" s="531"/>
      <c r="AS38" s="531"/>
      <c r="AT38" s="531"/>
      <c r="AU38" s="531"/>
      <c r="AV38" s="531"/>
      <c r="AW38" s="531"/>
      <c r="AX38" s="531"/>
      <c r="AY38" s="531"/>
      <c r="AZ38" s="531"/>
      <c r="BA38" s="531"/>
      <c r="BB38" s="531"/>
      <c r="BC38" s="531"/>
      <c r="BD38" s="531"/>
      <c r="BE38" s="531"/>
      <c r="BF38" s="531"/>
      <c r="BG38" s="531"/>
      <c r="BH38" s="531"/>
      <c r="BI38" s="531"/>
      <c r="BJ38" s="531"/>
      <c r="BK38" s="531"/>
      <c r="BL38" s="531"/>
    </row>
    <row r="39" customFormat="false" ht="12.8" hidden="false" customHeight="false" outlineLevel="0" collapsed="false">
      <c r="A39" s="511" t="n">
        <v>6</v>
      </c>
      <c r="B39" s="512" t="n">
        <v>0.162</v>
      </c>
      <c r="C39" s="513" t="n">
        <v>4.115</v>
      </c>
      <c r="D39" s="514" t="n">
        <v>0</v>
      </c>
      <c r="E39" s="515" t="n">
        <v>6.17</v>
      </c>
      <c r="F39" s="516" t="n">
        <v>2.43</v>
      </c>
      <c r="G39" s="517" t="n">
        <v>26.3</v>
      </c>
      <c r="H39" s="518" t="n">
        <f aca="false">I39/100</f>
        <v>0.133</v>
      </c>
      <c r="I39" s="519" t="n">
        <v>13.3</v>
      </c>
      <c r="J39" s="520" t="n">
        <v>1.296</v>
      </c>
      <c r="K39" s="513" t="n">
        <f aca="false">J39*10</f>
        <v>12.96</v>
      </c>
      <c r="L39" s="514" t="n">
        <v>0.3951</v>
      </c>
      <c r="M39" s="521" t="n">
        <v>6</v>
      </c>
    </row>
    <row r="40" customFormat="false" ht="12.8" hidden="false" customHeight="false" outlineLevel="0" collapsed="false">
      <c r="A40" s="522" t="n">
        <v>5</v>
      </c>
      <c r="B40" s="512" t="n">
        <v>0.1819</v>
      </c>
      <c r="C40" s="523" t="n">
        <v>4.621</v>
      </c>
      <c r="D40" s="514" t="n">
        <v>0</v>
      </c>
      <c r="E40" s="524" t="n">
        <v>5.5</v>
      </c>
      <c r="F40" s="516" t="n">
        <v>2.16</v>
      </c>
      <c r="G40" s="525" t="n">
        <v>33.1</v>
      </c>
      <c r="H40" s="518" t="n">
        <f aca="false">I40/100</f>
        <v>0.168</v>
      </c>
      <c r="I40" s="526" t="n">
        <v>16.8</v>
      </c>
      <c r="J40" s="520" t="n">
        <v>1.028</v>
      </c>
      <c r="K40" s="523" t="n">
        <f aca="false">J40*10</f>
        <v>10.28</v>
      </c>
      <c r="L40" s="514" t="n">
        <v>0.3133</v>
      </c>
      <c r="M40" s="527" t="n">
        <v>5</v>
      </c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531"/>
      <c r="Y40" s="531"/>
      <c r="Z40" s="531"/>
      <c r="AA40" s="531"/>
      <c r="AB40" s="531"/>
      <c r="AC40" s="531"/>
      <c r="AD40" s="531"/>
      <c r="AE40" s="531"/>
      <c r="AF40" s="531"/>
      <c r="AG40" s="531"/>
      <c r="AH40" s="531"/>
      <c r="AI40" s="531"/>
      <c r="AJ40" s="531"/>
      <c r="AK40" s="531"/>
      <c r="AL40" s="531"/>
      <c r="AM40" s="531"/>
      <c r="AN40" s="531"/>
      <c r="AO40" s="531"/>
      <c r="AP40" s="531"/>
      <c r="AQ40" s="531"/>
      <c r="AR40" s="531"/>
      <c r="AS40" s="531"/>
      <c r="AT40" s="531"/>
      <c r="AU40" s="531"/>
      <c r="AV40" s="531"/>
      <c r="AW40" s="531"/>
      <c r="AX40" s="531"/>
      <c r="AY40" s="531"/>
      <c r="AZ40" s="531"/>
      <c r="BA40" s="531"/>
      <c r="BB40" s="531"/>
      <c r="BC40" s="531"/>
      <c r="BD40" s="531"/>
      <c r="BE40" s="531"/>
      <c r="BF40" s="531"/>
      <c r="BG40" s="531"/>
      <c r="BH40" s="531"/>
      <c r="BI40" s="531"/>
      <c r="BJ40" s="531"/>
      <c r="BK40" s="531"/>
      <c r="BL40" s="531"/>
    </row>
    <row r="41" customFormat="false" ht="12.8" hidden="false" customHeight="false" outlineLevel="0" collapsed="false">
      <c r="A41" s="511" t="n">
        <v>4</v>
      </c>
      <c r="B41" s="512" t="n">
        <v>0.2043</v>
      </c>
      <c r="C41" s="513" t="n">
        <v>5.189</v>
      </c>
      <c r="D41" s="514" t="n">
        <v>0</v>
      </c>
      <c r="E41" s="515" t="n">
        <v>4.89</v>
      </c>
      <c r="F41" s="516" t="n">
        <v>1.93</v>
      </c>
      <c r="G41" s="517" t="n">
        <v>41.7</v>
      </c>
      <c r="H41" s="518" t="n">
        <f aca="false">I41/100</f>
        <v>0.212</v>
      </c>
      <c r="I41" s="519" t="n">
        <v>21.2</v>
      </c>
      <c r="J41" s="520" t="n">
        <v>0.8152</v>
      </c>
      <c r="K41" s="513" t="n">
        <f aca="false">J41*10</f>
        <v>8.152</v>
      </c>
      <c r="L41" s="514" t="n">
        <v>0.2485</v>
      </c>
      <c r="M41" s="521" t="n">
        <v>4</v>
      </c>
    </row>
    <row r="42" customFormat="false" ht="12.8" hidden="false" customHeight="false" outlineLevel="0" collapsed="false">
      <c r="A42" s="522" t="n">
        <v>3</v>
      </c>
      <c r="B42" s="512" t="n">
        <v>0.2294</v>
      </c>
      <c r="C42" s="523" t="n">
        <v>5.827</v>
      </c>
      <c r="D42" s="514" t="n">
        <v>0</v>
      </c>
      <c r="E42" s="524" t="n">
        <v>4.36</v>
      </c>
      <c r="F42" s="516" t="n">
        <v>1.72</v>
      </c>
      <c r="G42" s="525" t="n">
        <v>52.6</v>
      </c>
      <c r="H42" s="518" t="n">
        <f aca="false">I42/100</f>
        <v>0.267</v>
      </c>
      <c r="I42" s="526" t="n">
        <v>26.7</v>
      </c>
      <c r="J42" s="520" t="n">
        <v>0.6465</v>
      </c>
      <c r="K42" s="523" t="n">
        <f aca="false">J42*10</f>
        <v>6.465</v>
      </c>
      <c r="L42" s="514" t="n">
        <v>0.197</v>
      </c>
      <c r="M42" s="527" t="n">
        <v>3</v>
      </c>
      <c r="N42" s="531"/>
      <c r="O42" s="531"/>
      <c r="P42" s="531"/>
      <c r="Q42" s="531"/>
      <c r="R42" s="531"/>
      <c r="S42" s="531"/>
      <c r="T42" s="531"/>
      <c r="U42" s="531"/>
      <c r="V42" s="531"/>
      <c r="W42" s="531"/>
      <c r="X42" s="531"/>
      <c r="Y42" s="531"/>
      <c r="Z42" s="531"/>
      <c r="AA42" s="531"/>
      <c r="AB42" s="531"/>
      <c r="AC42" s="531"/>
      <c r="AD42" s="531"/>
      <c r="AE42" s="531"/>
      <c r="AF42" s="531"/>
      <c r="AG42" s="531"/>
      <c r="AH42" s="531"/>
      <c r="AI42" s="531"/>
      <c r="AJ42" s="531"/>
      <c r="AK42" s="531"/>
      <c r="AL42" s="531"/>
      <c r="AM42" s="531"/>
      <c r="AN42" s="531"/>
      <c r="AO42" s="531"/>
      <c r="AP42" s="531"/>
      <c r="AQ42" s="531"/>
      <c r="AR42" s="531"/>
      <c r="AS42" s="531"/>
      <c r="AT42" s="531"/>
      <c r="AU42" s="531"/>
      <c r="AV42" s="531"/>
      <c r="AW42" s="531"/>
      <c r="AX42" s="531"/>
      <c r="AY42" s="531"/>
      <c r="AZ42" s="531"/>
      <c r="BA42" s="531"/>
      <c r="BB42" s="531"/>
      <c r="BC42" s="531"/>
      <c r="BD42" s="531"/>
      <c r="BE42" s="531"/>
      <c r="BF42" s="531"/>
      <c r="BG42" s="531"/>
      <c r="BH42" s="531"/>
      <c r="BI42" s="531"/>
      <c r="BJ42" s="531"/>
      <c r="BK42" s="531"/>
      <c r="BL42" s="531"/>
    </row>
    <row r="43" customFormat="false" ht="12.8" hidden="false" customHeight="false" outlineLevel="0" collapsed="false">
      <c r="A43" s="511" t="n">
        <v>2</v>
      </c>
      <c r="B43" s="512" t="n">
        <v>0.2576</v>
      </c>
      <c r="C43" s="513" t="n">
        <v>6.544</v>
      </c>
      <c r="D43" s="514" t="n">
        <v>0</v>
      </c>
      <c r="E43" s="515" t="n">
        <v>3.88</v>
      </c>
      <c r="F43" s="516" t="n">
        <v>1.53</v>
      </c>
      <c r="G43" s="517" t="n">
        <v>66.4</v>
      </c>
      <c r="H43" s="518" t="n">
        <f aca="false">I43/100</f>
        <v>0.336</v>
      </c>
      <c r="I43" s="519" t="n">
        <v>33.6</v>
      </c>
      <c r="J43" s="520" t="n">
        <v>0.5127</v>
      </c>
      <c r="K43" s="513" t="n">
        <f aca="false">J43*10</f>
        <v>5.127</v>
      </c>
      <c r="L43" s="514" t="n">
        <v>0.1563</v>
      </c>
      <c r="M43" s="521" t="n">
        <v>2</v>
      </c>
    </row>
    <row r="44" customFormat="false" ht="12.8" hidden="false" customHeight="false" outlineLevel="0" collapsed="false">
      <c r="A44" s="522" t="n">
        <v>1</v>
      </c>
      <c r="B44" s="532" t="n">
        <v>0.2893</v>
      </c>
      <c r="C44" s="533" t="n">
        <v>7.348</v>
      </c>
      <c r="D44" s="534" t="n">
        <v>0</v>
      </c>
      <c r="E44" s="535" t="n">
        <v>3.46</v>
      </c>
      <c r="F44" s="536" t="n">
        <v>1.36</v>
      </c>
      <c r="G44" s="537" t="n">
        <v>83.7</v>
      </c>
      <c r="H44" s="538" t="n">
        <f aca="false">I44/100</f>
        <v>0.424</v>
      </c>
      <c r="I44" s="539" t="n">
        <v>42.4</v>
      </c>
      <c r="J44" s="540" t="n">
        <v>0.4066</v>
      </c>
      <c r="K44" s="533" t="n">
        <f aca="false">J44*10</f>
        <v>4.066</v>
      </c>
      <c r="L44" s="534" t="n">
        <v>0.1239</v>
      </c>
      <c r="M44" s="541" t="n">
        <v>1</v>
      </c>
      <c r="N44" s="531"/>
      <c r="O44" s="531"/>
      <c r="P44" s="531"/>
      <c r="Q44" s="531"/>
      <c r="R44" s="531"/>
      <c r="S44" s="531"/>
      <c r="T44" s="531"/>
      <c r="U44" s="531"/>
      <c r="V44" s="531"/>
      <c r="W44" s="531"/>
      <c r="X44" s="531"/>
      <c r="Y44" s="531"/>
      <c r="Z44" s="531"/>
      <c r="AA44" s="531"/>
      <c r="AB44" s="531"/>
      <c r="AC44" s="531"/>
      <c r="AD44" s="531"/>
      <c r="AE44" s="531"/>
      <c r="AF44" s="531"/>
      <c r="AG44" s="531"/>
      <c r="AH44" s="531"/>
      <c r="AI44" s="531"/>
      <c r="AJ44" s="531"/>
      <c r="AK44" s="531"/>
      <c r="AL44" s="531"/>
      <c r="AM44" s="531"/>
      <c r="AN44" s="531"/>
      <c r="AO44" s="531"/>
      <c r="AP44" s="531"/>
      <c r="AQ44" s="531"/>
      <c r="AR44" s="531"/>
      <c r="AS44" s="531"/>
      <c r="AT44" s="531"/>
      <c r="AU44" s="531"/>
      <c r="AV44" s="531"/>
      <c r="AW44" s="531"/>
      <c r="AX44" s="531"/>
      <c r="AY44" s="531"/>
      <c r="AZ44" s="531"/>
      <c r="BA44" s="531"/>
      <c r="BB44" s="531"/>
      <c r="BC44" s="531"/>
      <c r="BD44" s="531"/>
      <c r="BE44" s="531"/>
      <c r="BF44" s="531"/>
      <c r="BG44" s="531"/>
      <c r="BH44" s="531"/>
      <c r="BI44" s="531"/>
      <c r="BJ44" s="531"/>
      <c r="BK44" s="531"/>
      <c r="BL44" s="531"/>
    </row>
  </sheetData>
  <mergeCells count="17">
    <mergeCell ref="A1:A4"/>
    <mergeCell ref="B1:D2"/>
    <mergeCell ref="E1:F2"/>
    <mergeCell ref="G1:I2"/>
    <mergeCell ref="J1:L2"/>
    <mergeCell ref="M1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hyperlinks>
    <hyperlink ref="D3" r:id="rId2" display="With Insul&#10;(mm)"/>
    <hyperlink ref="G3" r:id="rId3" display="(kcmil)"/>
  </hyperlink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4:G5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7" min="7" style="0" width="53.82"/>
  </cols>
  <sheetData>
    <row r="4" customFormat="false" ht="12.8" hidden="false" customHeight="false" outlineLevel="0" collapsed="false">
      <c r="B4" s="56" t="s">
        <v>211</v>
      </c>
      <c r="C4" s="57" t="s">
        <v>212</v>
      </c>
      <c r="D4" s="57"/>
      <c r="E4" s="56" t="s">
        <v>211</v>
      </c>
    </row>
    <row r="5" customFormat="false" ht="12.8" hidden="false" customHeight="false" outlineLevel="0" collapsed="false">
      <c r="B5" s="58"/>
      <c r="C5" s="59" t="s">
        <v>213</v>
      </c>
      <c r="D5" s="60" t="s">
        <v>214</v>
      </c>
      <c r="E5" s="58"/>
    </row>
    <row r="6" customFormat="false" ht="12.8" hidden="false" customHeight="false" outlineLevel="0" collapsed="false">
      <c r="B6" s="61" t="s">
        <v>215</v>
      </c>
      <c r="C6" s="62" t="n">
        <v>7</v>
      </c>
      <c r="D6" s="63" t="n">
        <v>6</v>
      </c>
      <c r="E6" s="61" t="s">
        <v>216</v>
      </c>
    </row>
    <row r="7" customFormat="false" ht="12.8" hidden="false" customHeight="false" outlineLevel="0" collapsed="false">
      <c r="B7" s="61" t="s">
        <v>215</v>
      </c>
      <c r="C7" s="62" t="n">
        <v>8</v>
      </c>
      <c r="D7" s="63" t="n">
        <v>5</v>
      </c>
      <c r="E7" s="61" t="s">
        <v>216</v>
      </c>
    </row>
    <row r="8" customFormat="false" ht="12.8" hidden="false" customHeight="false" outlineLevel="0" collapsed="false">
      <c r="B8" s="61" t="s">
        <v>217</v>
      </c>
      <c r="C8" s="62" t="n">
        <v>9</v>
      </c>
      <c r="D8" s="63" t="n">
        <v>4</v>
      </c>
      <c r="E8" s="61" t="s">
        <v>217</v>
      </c>
    </row>
    <row r="9" customFormat="false" ht="12.8" hidden="false" customHeight="false" outlineLevel="0" collapsed="false">
      <c r="B9" s="61" t="s">
        <v>217</v>
      </c>
      <c r="C9" s="62" t="n">
        <v>10</v>
      </c>
      <c r="D9" s="63" t="n">
        <v>3</v>
      </c>
      <c r="E9" s="61" t="s">
        <v>217</v>
      </c>
    </row>
    <row r="10" customFormat="false" ht="12.8" hidden="false" customHeight="false" outlineLevel="0" collapsed="false">
      <c r="B10" s="61" t="s">
        <v>218</v>
      </c>
      <c r="C10" s="62" t="n">
        <v>11</v>
      </c>
      <c r="D10" s="63" t="n">
        <v>2</v>
      </c>
      <c r="E10" s="61" t="s">
        <v>219</v>
      </c>
    </row>
    <row r="11" customFormat="false" ht="12.8" hidden="false" customHeight="false" outlineLevel="0" collapsed="false">
      <c r="B11" s="61" t="s">
        <v>218</v>
      </c>
      <c r="C11" s="64" t="n">
        <v>12</v>
      </c>
      <c r="D11" s="65" t="n">
        <v>1</v>
      </c>
      <c r="E11" s="61" t="s">
        <v>219</v>
      </c>
    </row>
    <row r="17" customFormat="false" ht="12.8" hidden="false" customHeight="false" outlineLevel="0" collapsed="false">
      <c r="B17" s="66" t="s">
        <v>220</v>
      </c>
      <c r="C17" s="66"/>
      <c r="D17" s="66"/>
      <c r="E17" s="66"/>
      <c r="F17" s="66"/>
      <c r="G17" s="66"/>
    </row>
    <row r="18" customFormat="false" ht="12.8" hidden="false" customHeight="false" outlineLevel="0" collapsed="false">
      <c r="B18" s="67" t="s">
        <v>221</v>
      </c>
      <c r="C18" s="67" t="s">
        <v>222</v>
      </c>
      <c r="D18" s="67" t="s">
        <v>223</v>
      </c>
      <c r="E18" s="67" t="s">
        <v>224</v>
      </c>
      <c r="F18" s="67" t="s">
        <v>225</v>
      </c>
      <c r="G18" s="67" t="s">
        <v>226</v>
      </c>
    </row>
    <row r="19" customFormat="false" ht="23.85" hidden="false" customHeight="false" outlineLevel="0" collapsed="false">
      <c r="B19" s="68" t="n">
        <v>1</v>
      </c>
      <c r="C19" s="68" t="s">
        <v>213</v>
      </c>
      <c r="D19" s="68" t="n">
        <v>2</v>
      </c>
      <c r="E19" s="68" t="n">
        <v>22</v>
      </c>
      <c r="F19" s="68" t="n">
        <v>10</v>
      </c>
      <c r="G19" s="68" t="s">
        <v>227</v>
      </c>
    </row>
    <row r="20" customFormat="false" ht="12.8" hidden="false" customHeight="false" outlineLevel="0" collapsed="false">
      <c r="B20" s="68" t="n">
        <v>2</v>
      </c>
      <c r="C20" s="68" t="s">
        <v>213</v>
      </c>
      <c r="D20" s="68" t="s">
        <v>228</v>
      </c>
      <c r="E20" s="68" t="s">
        <v>228</v>
      </c>
      <c r="F20" s="68" t="n">
        <v>1</v>
      </c>
      <c r="G20" s="68" t="s">
        <v>229</v>
      </c>
    </row>
    <row r="21" customFormat="false" ht="23.85" hidden="false" customHeight="false" outlineLevel="0" collapsed="false">
      <c r="B21" s="68" t="n">
        <v>3</v>
      </c>
      <c r="C21" s="68" t="s">
        <v>213</v>
      </c>
      <c r="D21" s="68" t="n">
        <v>2</v>
      </c>
      <c r="E21" s="68" t="n">
        <v>22</v>
      </c>
      <c r="F21" s="68" t="n">
        <v>9</v>
      </c>
      <c r="G21" s="68" t="s">
        <v>230</v>
      </c>
    </row>
    <row r="22" customFormat="false" ht="35.05" hidden="false" customHeight="false" outlineLevel="0" collapsed="false">
      <c r="B22" s="68" t="n">
        <v>4</v>
      </c>
      <c r="C22" s="68" t="s">
        <v>231</v>
      </c>
      <c r="D22" s="68" t="s">
        <v>228</v>
      </c>
      <c r="E22" s="68" t="s">
        <v>228</v>
      </c>
      <c r="F22" s="68" t="n">
        <v>25</v>
      </c>
      <c r="G22" s="68" t="s">
        <v>232</v>
      </c>
    </row>
    <row r="23" customFormat="false" ht="23.85" hidden="false" customHeight="false" outlineLevel="0" collapsed="false">
      <c r="B23" s="68" t="n">
        <v>5</v>
      </c>
      <c r="C23" s="68" t="s">
        <v>214</v>
      </c>
      <c r="D23" s="68" t="n">
        <v>2</v>
      </c>
      <c r="E23" s="68" t="n">
        <v>22</v>
      </c>
      <c r="F23" s="68" t="n">
        <v>10</v>
      </c>
      <c r="G23" s="68" t="s">
        <v>233</v>
      </c>
    </row>
    <row r="24" customFormat="false" ht="12.8" hidden="false" customHeight="false" outlineLevel="0" collapsed="false">
      <c r="B24" s="68" t="n">
        <v>6</v>
      </c>
      <c r="C24" s="68" t="s">
        <v>214</v>
      </c>
      <c r="D24" s="68" t="s">
        <v>228</v>
      </c>
      <c r="E24" s="68" t="s">
        <v>228</v>
      </c>
      <c r="F24" s="68" t="n">
        <v>1</v>
      </c>
      <c r="G24" s="68" t="s">
        <v>229</v>
      </c>
    </row>
    <row r="25" customFormat="false" ht="23.85" hidden="false" customHeight="false" outlineLevel="0" collapsed="false">
      <c r="B25" s="68" t="n">
        <v>7</v>
      </c>
      <c r="C25" s="68" t="s">
        <v>214</v>
      </c>
      <c r="D25" s="68" t="n">
        <v>2</v>
      </c>
      <c r="E25" s="68" t="n">
        <v>22</v>
      </c>
      <c r="F25" s="68" t="n">
        <v>9</v>
      </c>
      <c r="G25" s="68" t="s">
        <v>234</v>
      </c>
    </row>
    <row r="26" customFormat="false" ht="23.85" hidden="false" customHeight="false" outlineLevel="0" collapsed="false">
      <c r="B26" s="68" t="n">
        <v>8</v>
      </c>
      <c r="C26" s="68" t="s">
        <v>228</v>
      </c>
      <c r="D26" s="68" t="s">
        <v>228</v>
      </c>
      <c r="E26" s="68" t="s">
        <v>228</v>
      </c>
      <c r="F26" s="68" t="s">
        <v>235</v>
      </c>
      <c r="G26" s="68" t="s">
        <v>236</v>
      </c>
    </row>
    <row r="27" customFormat="false" ht="12.8" hidden="false" customHeight="false" outlineLevel="0" collapsed="false">
      <c r="B27" s="68"/>
      <c r="C27" s="68"/>
      <c r="D27" s="68"/>
      <c r="E27" s="68"/>
      <c r="F27" s="68"/>
      <c r="G27" s="68"/>
    </row>
    <row r="28" customFormat="false" ht="12.8" hidden="false" customHeight="false" outlineLevel="0" collapsed="false">
      <c r="B28" s="68"/>
      <c r="C28" s="68"/>
      <c r="D28" s="68"/>
      <c r="E28" s="68"/>
      <c r="F28" s="68"/>
      <c r="G28" s="68"/>
    </row>
    <row r="29" customFormat="false" ht="12.8" hidden="false" customHeight="false" outlineLevel="0" collapsed="false">
      <c r="B29" s="57" t="s">
        <v>237</v>
      </c>
      <c r="C29" s="57"/>
      <c r="D29" s="57"/>
      <c r="E29" s="57"/>
      <c r="F29" s="57"/>
      <c r="G29" s="68"/>
    </row>
    <row r="30" customFormat="false" ht="12.8" hidden="false" customHeight="false" outlineLevel="0" collapsed="false">
      <c r="B30" s="69" t="s">
        <v>214</v>
      </c>
      <c r="C30" s="70" t="s">
        <v>238</v>
      </c>
      <c r="D30" s="70" t="s">
        <v>239</v>
      </c>
      <c r="E30" s="71" t="n">
        <v>20</v>
      </c>
      <c r="F30" s="72"/>
      <c r="G30" s="68"/>
    </row>
    <row r="31" customFormat="false" ht="12.8" hidden="false" customHeight="false" outlineLevel="0" collapsed="false">
      <c r="B31" s="73"/>
      <c r="C31" s="74"/>
      <c r="D31" s="74" t="s">
        <v>240</v>
      </c>
      <c r="E31" s="26" t="n">
        <v>3.309E-005</v>
      </c>
      <c r="F31" s="75"/>
      <c r="G31" s="68"/>
    </row>
    <row r="32" customFormat="false" ht="12.8" hidden="false" customHeight="false" outlineLevel="0" collapsed="false">
      <c r="B32" s="73"/>
      <c r="C32" s="74"/>
      <c r="D32" s="74" t="s">
        <v>241</v>
      </c>
      <c r="E32" s="76" t="n">
        <v>10.56</v>
      </c>
      <c r="F32" s="75"/>
      <c r="G32" s="68"/>
    </row>
    <row r="33" customFormat="false" ht="12.8" hidden="false" customHeight="false" outlineLevel="0" collapsed="false">
      <c r="B33" s="73"/>
      <c r="C33" s="74"/>
      <c r="D33" s="74" t="s">
        <v>242</v>
      </c>
      <c r="E33" s="77" t="n">
        <f aca="false">(E30*E31)/E32</f>
        <v>6.26704545454545E-005</v>
      </c>
      <c r="F33" s="75"/>
      <c r="G33" s="68"/>
    </row>
    <row r="34" customFormat="false" ht="12.8" hidden="false" customHeight="false" outlineLevel="0" collapsed="false">
      <c r="B34" s="73"/>
      <c r="C34" s="74" t="s">
        <v>243</v>
      </c>
      <c r="D34" s="74" t="s">
        <v>239</v>
      </c>
      <c r="E34" s="76" t="n">
        <v>5</v>
      </c>
      <c r="F34" s="75"/>
      <c r="G34" s="68"/>
    </row>
    <row r="35" customFormat="false" ht="12.8" hidden="false" customHeight="false" outlineLevel="0" collapsed="false">
      <c r="B35" s="73"/>
      <c r="C35" s="74"/>
      <c r="D35" s="74" t="s">
        <v>240</v>
      </c>
      <c r="E35" s="26" t="n">
        <v>1.525E-005</v>
      </c>
      <c r="F35" s="75"/>
      <c r="G35" s="68"/>
    </row>
    <row r="36" customFormat="false" ht="12.8" hidden="false" customHeight="false" outlineLevel="0" collapsed="false">
      <c r="B36" s="73"/>
      <c r="C36" s="74"/>
      <c r="D36" s="74" t="s">
        <v>241</v>
      </c>
      <c r="E36" s="76" t="n">
        <v>13.28</v>
      </c>
      <c r="F36" s="75"/>
      <c r="G36" s="68"/>
    </row>
    <row r="37" customFormat="false" ht="12.8" hidden="false" customHeight="false" outlineLevel="0" collapsed="false">
      <c r="B37" s="73"/>
      <c r="C37" s="74"/>
      <c r="D37" s="74" t="s">
        <v>242</v>
      </c>
      <c r="E37" s="77" t="n">
        <f aca="false">(E34*E35)/E36</f>
        <v>5.74171686746988E-006</v>
      </c>
      <c r="F37" s="75"/>
      <c r="G37" s="68"/>
    </row>
    <row r="38" customFormat="false" ht="12.8" hidden="false" customHeight="false" outlineLevel="0" collapsed="false">
      <c r="B38" s="73"/>
      <c r="C38" s="74" t="s">
        <v>244</v>
      </c>
      <c r="D38" s="78" t="s">
        <v>245</v>
      </c>
      <c r="E38" s="76" t="n">
        <v>18.2</v>
      </c>
      <c r="F38" s="79" t="n">
        <v>17.8</v>
      </c>
      <c r="G38" s="80"/>
    </row>
    <row r="39" customFormat="false" ht="12.8" hidden="false" customHeight="false" outlineLevel="0" collapsed="false">
      <c r="B39" s="73"/>
      <c r="C39" s="74" t="s">
        <v>246</v>
      </c>
      <c r="D39" s="74" t="s">
        <v>247</v>
      </c>
      <c r="E39" s="81" t="n">
        <v>2410000</v>
      </c>
      <c r="F39" s="75"/>
      <c r="G39" s="80"/>
    </row>
    <row r="40" customFormat="false" ht="12.8" hidden="false" customHeight="false" outlineLevel="0" collapsed="false">
      <c r="B40" s="82"/>
      <c r="C40" s="83"/>
      <c r="D40" s="83" t="s">
        <v>248</v>
      </c>
      <c r="E40" s="84" t="n">
        <f aca="false">1/(POWER((2*PI()*E39),2)*E33)</f>
        <v>6.95894386944943E-011</v>
      </c>
      <c r="F40" s="85"/>
      <c r="G40" s="80"/>
    </row>
    <row r="41" customFormat="false" ht="12.8" hidden="false" customHeight="false" outlineLevel="0" collapsed="false">
      <c r="B41" s="73" t="s">
        <v>213</v>
      </c>
      <c r="C41" s="74" t="s">
        <v>238</v>
      </c>
      <c r="D41" s="74" t="s">
        <v>239</v>
      </c>
      <c r="E41" s="76" t="n">
        <v>20</v>
      </c>
      <c r="F41" s="75"/>
    </row>
    <row r="42" customFormat="false" ht="12.8" hidden="false" customHeight="false" outlineLevel="0" collapsed="false">
      <c r="B42" s="73"/>
      <c r="C42" s="74"/>
      <c r="D42" s="74" t="s">
        <v>240</v>
      </c>
      <c r="E42" s="26" t="n">
        <v>3.321E-005</v>
      </c>
      <c r="F42" s="75"/>
    </row>
    <row r="43" customFormat="false" ht="12.8" hidden="false" customHeight="false" outlineLevel="0" collapsed="false">
      <c r="B43" s="73"/>
      <c r="C43" s="74"/>
      <c r="D43" s="74" t="s">
        <v>241</v>
      </c>
      <c r="E43" s="76" t="n">
        <v>11.68</v>
      </c>
      <c r="F43" s="75"/>
    </row>
    <row r="44" customFormat="false" ht="12.8" hidden="false" customHeight="false" outlineLevel="0" collapsed="false">
      <c r="B44" s="73"/>
      <c r="C44" s="74"/>
      <c r="D44" s="74" t="s">
        <v>242</v>
      </c>
      <c r="E44" s="77" t="n">
        <f aca="false">(E41*E42)/E43</f>
        <v>5.68664383561644E-005</v>
      </c>
      <c r="F44" s="75"/>
    </row>
    <row r="45" customFormat="false" ht="12.8" hidden="false" customHeight="false" outlineLevel="0" collapsed="false">
      <c r="B45" s="73"/>
      <c r="C45" s="74" t="s">
        <v>243</v>
      </c>
      <c r="D45" s="74" t="s">
        <v>239</v>
      </c>
      <c r="E45" s="76" t="n">
        <v>5</v>
      </c>
      <c r="F45" s="75"/>
    </row>
    <row r="46" customFormat="false" ht="12.8" hidden="false" customHeight="false" outlineLevel="0" collapsed="false">
      <c r="B46" s="73"/>
      <c r="C46" s="74"/>
      <c r="D46" s="74" t="s">
        <v>240</v>
      </c>
      <c r="E46" s="26" t="n">
        <v>1.529E-005</v>
      </c>
      <c r="F46" s="75"/>
    </row>
    <row r="47" customFormat="false" ht="12.8" hidden="false" customHeight="false" outlineLevel="0" collapsed="false">
      <c r="B47" s="73"/>
      <c r="C47" s="74"/>
      <c r="D47" s="74" t="s">
        <v>241</v>
      </c>
      <c r="E47" s="76" t="n">
        <v>14.4</v>
      </c>
      <c r="F47" s="75"/>
    </row>
    <row r="48" customFormat="false" ht="12.8" hidden="false" customHeight="false" outlineLevel="0" collapsed="false">
      <c r="B48" s="73"/>
      <c r="C48" s="74"/>
      <c r="D48" s="74" t="s">
        <v>242</v>
      </c>
      <c r="E48" s="77" t="n">
        <f aca="false">(E45*E46)/E47</f>
        <v>5.30902777777778E-006</v>
      </c>
      <c r="F48" s="75"/>
    </row>
    <row r="49" customFormat="false" ht="12.8" hidden="false" customHeight="false" outlineLevel="0" collapsed="false">
      <c r="B49" s="73"/>
      <c r="C49" s="74" t="s">
        <v>249</v>
      </c>
      <c r="D49" s="78" t="s">
        <v>245</v>
      </c>
      <c r="E49" s="76" t="n">
        <v>20</v>
      </c>
      <c r="F49" s="79" t="n">
        <v>19.4</v>
      </c>
    </row>
    <row r="50" customFormat="false" ht="12.8" hidden="false" customHeight="false" outlineLevel="0" collapsed="false">
      <c r="B50" s="73"/>
      <c r="C50" s="74" t="s">
        <v>246</v>
      </c>
      <c r="D50" s="74" t="s">
        <v>247</v>
      </c>
      <c r="E50" s="81" t="n">
        <v>2410000</v>
      </c>
      <c r="F50" s="75"/>
    </row>
    <row r="51" customFormat="false" ht="12.8" hidden="false" customHeight="false" outlineLevel="0" collapsed="false">
      <c r="B51" s="82"/>
      <c r="C51" s="83"/>
      <c r="D51" s="83" t="s">
        <v>248</v>
      </c>
      <c r="E51" s="84" t="n">
        <f aca="false">1/(POWER((2*PI()*E50),2)*E44)</f>
        <v>7.66920151958883E-011</v>
      </c>
      <c r="F51" s="85"/>
    </row>
  </sheetData>
  <mergeCells count="3">
    <mergeCell ref="C4:D4"/>
    <mergeCell ref="B17:G17"/>
    <mergeCell ref="B29:F29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P5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6" width="37.88"/>
    <col collapsed="false" customWidth="true" hidden="false" outlineLevel="0" max="2" min="2" style="86" width="18.59"/>
    <col collapsed="false" customWidth="true" hidden="false" outlineLevel="0" max="3" min="3" style="86" width="4.36"/>
    <col collapsed="false" customWidth="true" hidden="false" outlineLevel="0" max="4" min="4" style="86" width="20.28"/>
    <col collapsed="false" customWidth="true" hidden="false" outlineLevel="0" max="5" min="5" style="86" width="15.84"/>
    <col collapsed="false" customWidth="true" hidden="false" outlineLevel="0" max="7" min="6" style="86" width="14.45"/>
    <col collapsed="false" customWidth="true" hidden="false" outlineLevel="0" max="12" min="8" style="86" width="14.69"/>
    <col collapsed="false" customWidth="true" hidden="false" outlineLevel="0" max="13" min="13" style="86" width="14.45"/>
    <col collapsed="false" customWidth="true" hidden="false" outlineLevel="0" max="14" min="14" style="86" width="5.06"/>
    <col collapsed="false" customWidth="true" hidden="false" outlineLevel="0" max="15" min="15" style="86" width="36.04"/>
    <col collapsed="false" customWidth="true" hidden="false" outlineLevel="0" max="16" min="16" style="86" width="14.45"/>
    <col collapsed="false" customWidth="true" hidden="false" outlineLevel="0" max="17" min="17" style="86" width="5.06"/>
    <col collapsed="false" customWidth="true" hidden="false" outlineLevel="0" max="18" min="18" style="86" width="19.5"/>
    <col collapsed="false" customWidth="true" hidden="false" outlineLevel="0" max="19" min="19" style="86" width="14.45"/>
    <col collapsed="false" customWidth="true" hidden="false" outlineLevel="0" max="20" min="20" style="86" width="5.73"/>
    <col collapsed="false" customWidth="true" hidden="false" outlineLevel="0" max="21" min="21" style="86" width="4.39"/>
    <col collapsed="false" customWidth="true" hidden="false" outlineLevel="0" max="22" min="22" style="86" width="5.15"/>
    <col collapsed="false" customWidth="true" hidden="false" outlineLevel="0" max="23" min="23" style="86" width="8.9"/>
    <col collapsed="false" customWidth="true" hidden="false" outlineLevel="0" max="24" min="24" style="86" width="10.96"/>
    <col collapsed="false" customWidth="true" hidden="false" outlineLevel="0" max="25" min="25" style="86" width="9.09"/>
    <col collapsed="false" customWidth="true" hidden="false" outlineLevel="0" max="26" min="26" style="86" width="19.77"/>
    <col collapsed="false" customWidth="true" hidden="false" outlineLevel="0" max="27" min="27" style="86" width="18.85"/>
    <col collapsed="false" customWidth="true" hidden="false" outlineLevel="0" max="28" min="28" style="86" width="42.51"/>
    <col collapsed="false" customWidth="true" hidden="false" outlineLevel="0" max="30" min="29" style="86" width="14.45"/>
    <col collapsed="false" customWidth="true" hidden="false" outlineLevel="0" max="31" min="31" style="86" width="53.21"/>
    <col collapsed="false" customWidth="true" hidden="false" outlineLevel="0" max="32" min="32" style="86" width="14.45"/>
    <col collapsed="false" customWidth="true" hidden="false" outlineLevel="0" max="36" min="33" style="87" width="14.45"/>
    <col collapsed="false" customWidth="true" hidden="false" outlineLevel="0" max="37" min="37" style="87" width="16.02"/>
    <col collapsed="false" customWidth="true" hidden="false" outlineLevel="0" max="38" min="38" style="87" width="16.76"/>
    <col collapsed="false" customWidth="true" hidden="false" outlineLevel="0" max="39" min="39" style="87" width="4.9"/>
    <col collapsed="false" customWidth="true" hidden="false" outlineLevel="0" max="40" min="40" style="87" width="16.39"/>
    <col collapsed="false" customWidth="true" hidden="false" outlineLevel="0" max="41" min="41" style="87" width="4.9"/>
    <col collapsed="false" customWidth="true" hidden="false" outlineLevel="0" max="42" min="42" style="88" width="73.73"/>
    <col collapsed="false" customWidth="true" hidden="false" outlineLevel="0" max="64" min="43" style="86" width="14.45"/>
  </cols>
  <sheetData>
    <row r="2" customFormat="false" ht="15.65" hidden="false" customHeight="true" outlineLevel="0" collapsed="false">
      <c r="A2" s="89" t="s">
        <v>250</v>
      </c>
      <c r="B2" s="89"/>
      <c r="D2" s="90" t="s">
        <v>251</v>
      </c>
      <c r="E2" s="90"/>
      <c r="F2" s="90"/>
      <c r="G2" s="90"/>
      <c r="H2" s="90"/>
      <c r="I2" s="90"/>
      <c r="J2" s="90"/>
      <c r="K2" s="90"/>
      <c r="L2" s="90"/>
      <c r="M2" s="90"/>
      <c r="O2" s="91" t="s">
        <v>252</v>
      </c>
      <c r="P2" s="91"/>
      <c r="R2" s="92" t="s">
        <v>253</v>
      </c>
      <c r="S2" s="92"/>
      <c r="U2" s="93" t="s">
        <v>254</v>
      </c>
      <c r="V2" s="93"/>
      <c r="W2" s="93"/>
      <c r="X2" s="93" t="s">
        <v>255</v>
      </c>
      <c r="Y2" s="93"/>
      <c r="Z2" s="93"/>
      <c r="AA2" s="93"/>
      <c r="AB2" s="93"/>
      <c r="AG2" s="66" t="s">
        <v>256</v>
      </c>
      <c r="AH2" s="66"/>
      <c r="AI2" s="66"/>
      <c r="AJ2" s="66"/>
      <c r="AK2" s="66"/>
      <c r="AL2" s="66"/>
      <c r="AM2" s="66"/>
      <c r="AN2" s="66"/>
      <c r="AO2" s="66"/>
      <c r="AP2" s="66"/>
    </row>
    <row r="3" customFormat="false" ht="12.8" hidden="false" customHeight="false" outlineLevel="0" collapsed="false">
      <c r="A3" s="94" t="s">
        <v>257</v>
      </c>
      <c r="B3" s="95" t="n">
        <v>16000000</v>
      </c>
      <c r="C3" s="96"/>
      <c r="D3" s="97" t="s">
        <v>258</v>
      </c>
      <c r="E3" s="98" t="n">
        <v>32000000</v>
      </c>
      <c r="F3" s="99"/>
      <c r="G3" s="99"/>
      <c r="H3" s="99"/>
      <c r="I3" s="99"/>
      <c r="J3" s="99"/>
      <c r="K3" s="99"/>
      <c r="L3" s="99"/>
      <c r="M3" s="99"/>
      <c r="O3" s="100" t="s">
        <v>259</v>
      </c>
      <c r="P3" s="101" t="n">
        <v>1E-006</v>
      </c>
      <c r="R3" s="100" t="s">
        <v>260</v>
      </c>
      <c r="S3" s="102" t="n">
        <v>5</v>
      </c>
      <c r="U3" s="103" t="s">
        <v>261</v>
      </c>
      <c r="V3" s="104" t="s">
        <v>262</v>
      </c>
      <c r="W3" s="105" t="s">
        <v>263</v>
      </c>
      <c r="X3" s="103" t="s">
        <v>264</v>
      </c>
      <c r="Y3" s="104" t="s">
        <v>265</v>
      </c>
      <c r="Z3" s="104" t="s">
        <v>266</v>
      </c>
      <c r="AA3" s="104" t="s">
        <v>267</v>
      </c>
      <c r="AB3" s="105" t="s">
        <v>6</v>
      </c>
      <c r="AD3" s="106" t="s">
        <v>268</v>
      </c>
      <c r="AE3" s="106" t="s">
        <v>269</v>
      </c>
      <c r="AG3" s="107" t="s">
        <v>270</v>
      </c>
      <c r="AH3" s="107" t="s">
        <v>271</v>
      </c>
      <c r="AI3" s="107" t="s">
        <v>272</v>
      </c>
      <c r="AJ3" s="107" t="s">
        <v>273</v>
      </c>
      <c r="AK3" s="107" t="s">
        <v>274</v>
      </c>
      <c r="AL3" s="107" t="s">
        <v>275</v>
      </c>
      <c r="AM3" s="107" t="s">
        <v>276</v>
      </c>
      <c r="AN3" s="107" t="s">
        <v>277</v>
      </c>
      <c r="AO3" s="107" t="s">
        <v>276</v>
      </c>
      <c r="AP3" s="108" t="s">
        <v>6</v>
      </c>
    </row>
    <row r="4" customFormat="false" ht="12.8" hidden="false" customHeight="false" outlineLevel="0" collapsed="false">
      <c r="A4" s="94" t="s">
        <v>278</v>
      </c>
      <c r="B4" s="109" t="n">
        <f aca="false">1/B3</f>
        <v>6.25E-008</v>
      </c>
      <c r="C4" s="110"/>
      <c r="D4" s="111" t="s">
        <v>279</v>
      </c>
      <c r="E4" s="112" t="n">
        <v>1</v>
      </c>
      <c r="F4" s="112" t="n">
        <v>2</v>
      </c>
      <c r="G4" s="112" t="n">
        <v>4</v>
      </c>
      <c r="H4" s="112" t="n">
        <v>8</v>
      </c>
      <c r="I4" s="112" t="n">
        <v>16</v>
      </c>
      <c r="J4" s="112" t="n">
        <v>32</v>
      </c>
      <c r="K4" s="112" t="n">
        <v>64</v>
      </c>
      <c r="L4" s="112" t="n">
        <v>128</v>
      </c>
      <c r="M4" s="113" t="n">
        <v>256</v>
      </c>
      <c r="O4" s="100" t="s">
        <v>280</v>
      </c>
      <c r="P4" s="114" t="n">
        <v>12</v>
      </c>
      <c r="R4" s="100" t="s">
        <v>281</v>
      </c>
      <c r="S4" s="115" t="n">
        <f aca="false">S3/1024</f>
        <v>0.0048828125</v>
      </c>
      <c r="U4" s="116" t="n">
        <v>1</v>
      </c>
      <c r="V4" s="117" t="s">
        <v>282</v>
      </c>
      <c r="W4" s="118" t="s">
        <v>283</v>
      </c>
      <c r="X4" s="119" t="n">
        <v>1</v>
      </c>
      <c r="Y4" s="117" t="n">
        <v>0</v>
      </c>
      <c r="Z4" s="117" t="s">
        <v>284</v>
      </c>
      <c r="AA4" s="117" t="s">
        <v>284</v>
      </c>
      <c r="AB4" s="120"/>
      <c r="AD4" s="121" t="s">
        <v>285</v>
      </c>
      <c r="AE4" s="121" t="s">
        <v>286</v>
      </c>
      <c r="AG4" s="122" t="n">
        <v>44487</v>
      </c>
      <c r="AH4" s="87" t="n">
        <v>2</v>
      </c>
      <c r="AI4" s="87" t="n">
        <v>24</v>
      </c>
      <c r="AJ4" s="87" t="s">
        <v>287</v>
      </c>
      <c r="AK4" s="87" t="s">
        <v>75</v>
      </c>
      <c r="AL4" s="87" t="n">
        <v>2.256</v>
      </c>
      <c r="AM4" s="87" t="s">
        <v>288</v>
      </c>
      <c r="AN4" s="87" t="n">
        <v>5.362</v>
      </c>
      <c r="AO4" s="87" t="s">
        <v>288</v>
      </c>
      <c r="AP4" s="88" t="s">
        <v>289</v>
      </c>
    </row>
    <row r="5" customFormat="false" ht="12.8" hidden="false" customHeight="false" outlineLevel="0" collapsed="false">
      <c r="A5" s="94" t="s">
        <v>290</v>
      </c>
      <c r="B5" s="123" t="n">
        <f aca="false">B3/4</f>
        <v>4000000</v>
      </c>
      <c r="D5" s="97" t="s">
        <v>291</v>
      </c>
      <c r="E5" s="124" t="n">
        <f aca="false">($E$3/4)/E4</f>
        <v>8000000</v>
      </c>
      <c r="F5" s="124" t="n">
        <f aca="false">($E$3/4)/F4</f>
        <v>4000000</v>
      </c>
      <c r="G5" s="124" t="n">
        <f aca="false">($E$3/4)/G4</f>
        <v>2000000</v>
      </c>
      <c r="H5" s="124" t="n">
        <f aca="false">($E$3/4)/H4</f>
        <v>1000000</v>
      </c>
      <c r="I5" s="124" t="n">
        <f aca="false">($E$3/4)/I4</f>
        <v>500000</v>
      </c>
      <c r="J5" s="124" t="n">
        <f aca="false">($E$3/4)/J4</f>
        <v>250000</v>
      </c>
      <c r="K5" s="124" t="n">
        <f aca="false">($E$3/4)/K4</f>
        <v>125000</v>
      </c>
      <c r="L5" s="124" t="n">
        <f aca="false">($E$3/4)/L4</f>
        <v>62500</v>
      </c>
      <c r="M5" s="125" t="n">
        <f aca="false">($E$3/4)/M4</f>
        <v>31250</v>
      </c>
      <c r="O5" s="126" t="s">
        <v>292</v>
      </c>
      <c r="P5" s="127" t="n">
        <f aca="false">P3*P4</f>
        <v>1.2E-005</v>
      </c>
      <c r="R5" s="100" t="s">
        <v>293</v>
      </c>
      <c r="S5" s="128" t="n">
        <v>4.908</v>
      </c>
      <c r="U5" s="116" t="n">
        <v>2</v>
      </c>
      <c r="V5" s="117" t="s">
        <v>294</v>
      </c>
      <c r="W5" s="118" t="s">
        <v>295</v>
      </c>
      <c r="X5" s="119" t="n">
        <v>1</v>
      </c>
      <c r="Y5" s="117" t="n">
        <v>1</v>
      </c>
      <c r="Z5" s="129" t="s">
        <v>296</v>
      </c>
      <c r="AA5" s="129" t="s">
        <v>297</v>
      </c>
      <c r="AB5" s="120"/>
      <c r="AD5" s="121" t="s">
        <v>298</v>
      </c>
      <c r="AE5" s="121" t="s">
        <v>299</v>
      </c>
      <c r="AG5" s="122" t="n">
        <v>44487</v>
      </c>
      <c r="AH5" s="87" t="n">
        <v>2</v>
      </c>
      <c r="AI5" s="87" t="n">
        <v>24</v>
      </c>
      <c r="AJ5" s="87" t="s">
        <v>287</v>
      </c>
      <c r="AK5" s="87" t="s">
        <v>300</v>
      </c>
      <c r="AL5" s="87" t="n">
        <v>2.332</v>
      </c>
      <c r="AM5" s="87" t="s">
        <v>288</v>
      </c>
      <c r="AN5" s="87" t="n">
        <v>7.162</v>
      </c>
      <c r="AO5" s="87" t="s">
        <v>288</v>
      </c>
      <c r="AP5" s="88" t="s">
        <v>301</v>
      </c>
    </row>
    <row r="6" customFormat="false" ht="12.8" hidden="false" customHeight="false" outlineLevel="0" collapsed="false">
      <c r="A6" s="94" t="s">
        <v>302</v>
      </c>
      <c r="B6" s="109" t="n">
        <f aca="false">1/B5</f>
        <v>2.5E-007</v>
      </c>
      <c r="C6" s="110"/>
      <c r="D6" s="97" t="s">
        <v>303</v>
      </c>
      <c r="E6" s="130" t="n">
        <f aca="false">1/E5</f>
        <v>1.25E-007</v>
      </c>
      <c r="F6" s="130" t="n">
        <f aca="false">1/F5</f>
        <v>2.5E-007</v>
      </c>
      <c r="G6" s="130" t="n">
        <f aca="false">1/G5</f>
        <v>5E-007</v>
      </c>
      <c r="H6" s="130" t="n">
        <f aca="false">1/H5</f>
        <v>1E-006</v>
      </c>
      <c r="I6" s="130" t="n">
        <f aca="false">1/I5</f>
        <v>2E-006</v>
      </c>
      <c r="J6" s="130" t="n">
        <f aca="false">1/J5</f>
        <v>4E-006</v>
      </c>
      <c r="K6" s="130" t="n">
        <f aca="false">1/K5</f>
        <v>8E-006</v>
      </c>
      <c r="L6" s="130" t="n">
        <f aca="false">1/L5</f>
        <v>1.6E-005</v>
      </c>
      <c r="M6" s="131" t="n">
        <f aca="false">1/M5</f>
        <v>3.2E-005</v>
      </c>
      <c r="O6" s="100"/>
      <c r="P6" s="132"/>
      <c r="R6" s="133" t="s">
        <v>304</v>
      </c>
      <c r="S6" s="134" t="str">
        <f aca="false">"0x"&amp;DEC2HEX(S5/S4,4)&amp;" / "&amp;TEXT(S5/S4,"0")</f>
        <v>0x03ED / 1005</v>
      </c>
      <c r="U6" s="116" t="n">
        <v>3</v>
      </c>
      <c r="V6" s="117" t="s">
        <v>305</v>
      </c>
      <c r="W6" s="118" t="s">
        <v>306</v>
      </c>
      <c r="X6" s="119" t="n">
        <v>1</v>
      </c>
      <c r="Y6" s="117" t="n">
        <v>1</v>
      </c>
      <c r="Z6" s="117" t="s">
        <v>296</v>
      </c>
      <c r="AA6" s="117" t="s">
        <v>307</v>
      </c>
      <c r="AB6" s="120"/>
      <c r="AD6" s="0" t="s">
        <v>308</v>
      </c>
      <c r="AE6" s="86" t="s">
        <v>228</v>
      </c>
      <c r="AG6" s="122" t="n">
        <v>44487</v>
      </c>
      <c r="AH6" s="87" t="n">
        <v>2</v>
      </c>
      <c r="AI6" s="87" t="n">
        <v>24</v>
      </c>
      <c r="AJ6" s="87" t="s">
        <v>309</v>
      </c>
      <c r="AK6" s="87" t="s">
        <v>300</v>
      </c>
      <c r="AL6" s="87" t="n">
        <v>2.345</v>
      </c>
      <c r="AM6" s="87" t="s">
        <v>288</v>
      </c>
      <c r="AN6" s="87" t="n">
        <v>5.765</v>
      </c>
      <c r="AO6" s="87" t="s">
        <v>288</v>
      </c>
    </row>
    <row r="7" customFormat="false" ht="12.8" hidden="false" customHeight="false" outlineLevel="0" collapsed="false">
      <c r="A7" s="94" t="s">
        <v>310</v>
      </c>
      <c r="B7" s="135" t="n">
        <f aca="false">B15/B6</f>
        <v>26.75</v>
      </c>
      <c r="D7" s="111" t="s">
        <v>311</v>
      </c>
      <c r="E7" s="130" t="n">
        <f aca="false">E6*256</f>
        <v>3.2E-005</v>
      </c>
      <c r="F7" s="130" t="n">
        <f aca="false">F6*256</f>
        <v>6.4E-005</v>
      </c>
      <c r="G7" s="130" t="n">
        <f aca="false">G6*256</f>
        <v>0.000128</v>
      </c>
      <c r="H7" s="130" t="n">
        <f aca="false">H6*256</f>
        <v>0.000256</v>
      </c>
      <c r="I7" s="130" t="n">
        <f aca="false">I6*256</f>
        <v>0.000512</v>
      </c>
      <c r="J7" s="130" t="n">
        <f aca="false">J6*256</f>
        <v>0.001024</v>
      </c>
      <c r="K7" s="130" t="n">
        <f aca="false">K6*256</f>
        <v>0.002048</v>
      </c>
      <c r="L7" s="130" t="n">
        <f aca="false">L6*256</f>
        <v>0.004096</v>
      </c>
      <c r="M7" s="130" t="n">
        <f aca="false">M6*256</f>
        <v>0.008192</v>
      </c>
      <c r="O7" s="100" t="s">
        <v>312</v>
      </c>
      <c r="P7" s="136" t="n">
        <v>2E-006</v>
      </c>
      <c r="R7" s="137"/>
      <c r="U7" s="116" t="n">
        <v>4</v>
      </c>
      <c r="V7" s="117" t="s">
        <v>313</v>
      </c>
      <c r="W7" s="118" t="s">
        <v>314</v>
      </c>
      <c r="X7" s="119" t="n">
        <v>1</v>
      </c>
      <c r="Y7" s="117" t="n">
        <v>1</v>
      </c>
      <c r="Z7" s="117" t="s">
        <v>296</v>
      </c>
      <c r="AA7" s="117" t="s">
        <v>315</v>
      </c>
      <c r="AB7" s="120"/>
      <c r="AD7" s="121" t="s">
        <v>296</v>
      </c>
      <c r="AE7" s="121" t="s">
        <v>316</v>
      </c>
      <c r="AG7" s="122" t="n">
        <v>44487</v>
      </c>
      <c r="AH7" s="87" t="n">
        <v>2</v>
      </c>
      <c r="AI7" s="87" t="n">
        <v>26</v>
      </c>
      <c r="AJ7" s="87" t="s">
        <v>287</v>
      </c>
      <c r="AK7" s="87" t="s">
        <v>75</v>
      </c>
      <c r="AL7" s="87" t="n">
        <v>191.6</v>
      </c>
      <c r="AM7" s="87" t="s">
        <v>317</v>
      </c>
      <c r="AN7" s="87" t="s">
        <v>318</v>
      </c>
      <c r="AP7" s="88" t="s">
        <v>319</v>
      </c>
    </row>
    <row r="8" customFormat="false" ht="12.8" hidden="false" customHeight="false" outlineLevel="0" collapsed="false">
      <c r="A8" s="94" t="s">
        <v>320</v>
      </c>
      <c r="B8" s="138" t="s">
        <v>321</v>
      </c>
      <c r="C8" s="139"/>
      <c r="D8" s="140" t="s">
        <v>322</v>
      </c>
      <c r="E8" s="141" t="n">
        <f aca="false">1/E7</f>
        <v>31250</v>
      </c>
      <c r="F8" s="141" t="n">
        <f aca="false">1/F7</f>
        <v>15625</v>
      </c>
      <c r="G8" s="141" t="n">
        <f aca="false">1/G7</f>
        <v>7812.5</v>
      </c>
      <c r="H8" s="141" t="n">
        <f aca="false">1/H7</f>
        <v>3906.25</v>
      </c>
      <c r="I8" s="141" t="n">
        <f aca="false">1/I7</f>
        <v>1953.125</v>
      </c>
      <c r="J8" s="141" t="n">
        <f aca="false">1/J7</f>
        <v>976.5625</v>
      </c>
      <c r="K8" s="141" t="n">
        <f aca="false">1/K7</f>
        <v>488.28125</v>
      </c>
      <c r="L8" s="141" t="n">
        <f aca="false">1/L7</f>
        <v>244.140625</v>
      </c>
      <c r="M8" s="142" t="n">
        <f aca="false">1/M7</f>
        <v>122.0703125</v>
      </c>
      <c r="O8" s="100" t="s">
        <v>323</v>
      </c>
      <c r="P8" s="143" t="n">
        <v>10000</v>
      </c>
      <c r="R8" s="137"/>
      <c r="U8" s="116" t="n">
        <v>5</v>
      </c>
      <c r="V8" s="117" t="s">
        <v>324</v>
      </c>
      <c r="W8" s="118" t="s">
        <v>325</v>
      </c>
      <c r="X8" s="119" t="n">
        <v>1</v>
      </c>
      <c r="Y8" s="117" t="n">
        <v>1</v>
      </c>
      <c r="Z8" s="117" t="s">
        <v>260</v>
      </c>
      <c r="AA8" s="117" t="s">
        <v>326</v>
      </c>
      <c r="AB8" s="120" t="s">
        <v>327</v>
      </c>
      <c r="AD8" s="121" t="s">
        <v>328</v>
      </c>
      <c r="AE8" s="121" t="s">
        <v>329</v>
      </c>
      <c r="AG8" s="122" t="n">
        <v>44487</v>
      </c>
      <c r="AH8" s="87" t="n">
        <v>2</v>
      </c>
      <c r="AI8" s="87" t="n">
        <v>27</v>
      </c>
      <c r="AJ8" s="87" t="s">
        <v>287</v>
      </c>
      <c r="AK8" s="87" t="s">
        <v>75</v>
      </c>
      <c r="AL8" s="87" t="n">
        <v>450</v>
      </c>
      <c r="AM8" s="87" t="s">
        <v>317</v>
      </c>
      <c r="AN8" s="87" t="s">
        <v>318</v>
      </c>
      <c r="AP8" s="88" t="s">
        <v>330</v>
      </c>
    </row>
    <row r="9" customFormat="false" ht="12.8" hidden="false" customHeight="false" outlineLevel="0" collapsed="false">
      <c r="A9" s="94" t="s">
        <v>331</v>
      </c>
      <c r="B9" s="144" t="n">
        <f aca="false">HEX2DEC(B8)</f>
        <v>106</v>
      </c>
      <c r="C9" s="139"/>
      <c r="O9" s="100" t="s">
        <v>332</v>
      </c>
      <c r="P9" s="145" t="n">
        <v>50</v>
      </c>
      <c r="R9" s="137"/>
      <c r="U9" s="116" t="n">
        <v>6</v>
      </c>
      <c r="V9" s="117" t="s">
        <v>333</v>
      </c>
      <c r="W9" s="118" t="s">
        <v>283</v>
      </c>
      <c r="X9" s="119" t="n">
        <v>0</v>
      </c>
      <c r="Y9" s="117" t="n">
        <v>0</v>
      </c>
      <c r="Z9" s="146" t="s">
        <v>333</v>
      </c>
      <c r="AA9" s="146" t="s">
        <v>334</v>
      </c>
      <c r="AB9" s="120" t="s">
        <v>335</v>
      </c>
      <c r="AD9" s="121" t="s">
        <v>336</v>
      </c>
      <c r="AE9" s="121" t="s">
        <v>337</v>
      </c>
      <c r="AG9" s="122" t="n">
        <v>44487</v>
      </c>
      <c r="AH9" s="87" t="n">
        <v>2</v>
      </c>
      <c r="AI9" s="87" t="n">
        <v>28</v>
      </c>
      <c r="AJ9" s="87" t="s">
        <v>287</v>
      </c>
      <c r="AK9" s="87" t="s">
        <v>75</v>
      </c>
      <c r="AL9" s="87" t="n">
        <v>2.23</v>
      </c>
      <c r="AM9" s="87" t="s">
        <v>288</v>
      </c>
      <c r="AN9" s="87" t="n">
        <v>5.336</v>
      </c>
      <c r="AO9" s="87" t="s">
        <v>288</v>
      </c>
      <c r="AP9" s="88" t="s">
        <v>338</v>
      </c>
    </row>
    <row r="10" customFormat="false" ht="15.65" hidden="false" customHeight="true" outlineLevel="0" collapsed="false">
      <c r="A10" s="94" t="s">
        <v>339</v>
      </c>
      <c r="B10" s="138" t="s">
        <v>340</v>
      </c>
      <c r="C10" s="139"/>
      <c r="D10" s="90" t="s">
        <v>341</v>
      </c>
      <c r="E10" s="90"/>
      <c r="F10" s="90"/>
      <c r="G10" s="90"/>
      <c r="H10" s="90"/>
      <c r="O10" s="100" t="s">
        <v>342</v>
      </c>
      <c r="P10" s="147" t="n">
        <f aca="false">-1*(0.00000000001*(8000+P8)*LN(1/2047))</f>
        <v>1.37234350541903E-006</v>
      </c>
      <c r="R10" s="148" t="s">
        <v>343</v>
      </c>
      <c r="S10" s="148"/>
      <c r="U10" s="116" t="n">
        <v>7</v>
      </c>
      <c r="V10" s="117" t="s">
        <v>344</v>
      </c>
      <c r="W10" s="118" t="s">
        <v>345</v>
      </c>
      <c r="X10" s="119" t="n">
        <v>1</v>
      </c>
      <c r="Y10" s="117" t="n">
        <v>1</v>
      </c>
      <c r="Z10" s="149" t="s">
        <v>296</v>
      </c>
      <c r="AA10" s="149" t="s">
        <v>346</v>
      </c>
      <c r="AB10" s="120" t="s">
        <v>347</v>
      </c>
      <c r="AD10" s="86" t="s">
        <v>348</v>
      </c>
      <c r="AE10" s="86" t="s">
        <v>228</v>
      </c>
      <c r="AG10" s="122" t="n">
        <v>44487</v>
      </c>
      <c r="AH10" s="87" t="n">
        <v>2</v>
      </c>
      <c r="AI10" s="87" t="n">
        <v>29</v>
      </c>
      <c r="AJ10" s="87" t="s">
        <v>287</v>
      </c>
      <c r="AK10" s="87" t="s">
        <v>75</v>
      </c>
      <c r="AL10" s="87" t="n">
        <v>22.6</v>
      </c>
      <c r="AM10" s="87" t="s">
        <v>317</v>
      </c>
      <c r="AP10" s="88" t="s">
        <v>349</v>
      </c>
    </row>
    <row r="11" customFormat="false" ht="12.8" hidden="false" customHeight="false" outlineLevel="0" collapsed="false">
      <c r="A11" s="94" t="s">
        <v>350</v>
      </c>
      <c r="B11" s="144" t="n">
        <f aca="false">HEX2DEC(B10)</f>
        <v>91</v>
      </c>
      <c r="D11" s="97" t="s">
        <v>258</v>
      </c>
      <c r="E11" s="98" t="n">
        <v>16000000</v>
      </c>
      <c r="F11" s="113"/>
      <c r="G11" s="113"/>
      <c r="H11" s="113"/>
      <c r="O11" s="100" t="s">
        <v>351</v>
      </c>
      <c r="P11" s="136" t="n">
        <f aca="false">(P9-25)*0.00000005</f>
        <v>1.25E-006</v>
      </c>
      <c r="R11" s="97" t="s">
        <v>352</v>
      </c>
      <c r="S11" s="150" t="n">
        <v>5</v>
      </c>
      <c r="U11" s="116" t="n">
        <v>8</v>
      </c>
      <c r="V11" s="117" t="s">
        <v>353</v>
      </c>
      <c r="W11" s="118" t="s">
        <v>283</v>
      </c>
      <c r="X11" s="119" t="s">
        <v>283</v>
      </c>
      <c r="Y11" s="117" t="s">
        <v>283</v>
      </c>
      <c r="Z11" s="117" t="s">
        <v>353</v>
      </c>
      <c r="AA11" s="117" t="s">
        <v>353</v>
      </c>
      <c r="AB11" s="120"/>
      <c r="AD11" s="121" t="s">
        <v>354</v>
      </c>
      <c r="AE11" s="121" t="s">
        <v>355</v>
      </c>
    </row>
    <row r="12" customFormat="false" ht="14.9" hidden="false" customHeight="false" outlineLevel="0" collapsed="false">
      <c r="A12" s="94" t="s">
        <v>356</v>
      </c>
      <c r="B12" s="138" t="s">
        <v>357</v>
      </c>
      <c r="D12" s="111" t="s">
        <v>279</v>
      </c>
      <c r="E12" s="112" t="n">
        <v>1</v>
      </c>
      <c r="F12" s="112" t="n">
        <v>2</v>
      </c>
      <c r="G12" s="112" t="n">
        <v>4</v>
      </c>
      <c r="H12" s="113" t="n">
        <v>8</v>
      </c>
      <c r="O12" s="126" t="s">
        <v>358</v>
      </c>
      <c r="P12" s="151" t="n">
        <f aca="false">P7+P10+P11</f>
        <v>4.62234350541903E-006</v>
      </c>
      <c r="R12" s="97" t="s">
        <v>359</v>
      </c>
      <c r="S12" s="152" t="n">
        <v>8</v>
      </c>
      <c r="U12" s="116" t="n">
        <v>9</v>
      </c>
      <c r="V12" s="117" t="s">
        <v>360</v>
      </c>
      <c r="W12" s="118" t="s">
        <v>283</v>
      </c>
      <c r="X12" s="119" t="n">
        <v>0</v>
      </c>
      <c r="Y12" s="117" t="n">
        <v>0</v>
      </c>
      <c r="Z12" s="153" t="s">
        <v>361</v>
      </c>
      <c r="AA12" s="153" t="s">
        <v>362</v>
      </c>
      <c r="AB12" s="120" t="s">
        <v>363</v>
      </c>
      <c r="AD12" s="86" t="s">
        <v>364</v>
      </c>
      <c r="AE12" s="86" t="s">
        <v>228</v>
      </c>
    </row>
    <row r="13" customFormat="false" ht="14.9" hidden="false" customHeight="false" outlineLevel="0" collapsed="false">
      <c r="A13" s="94" t="s">
        <v>365</v>
      </c>
      <c r="B13" s="154" t="n">
        <v>1</v>
      </c>
      <c r="D13" s="97" t="s">
        <v>291</v>
      </c>
      <c r="E13" s="124" t="n">
        <f aca="false">$E$11/E12</f>
        <v>16000000</v>
      </c>
      <c r="F13" s="124" t="n">
        <f aca="false">$E$11/F12</f>
        <v>8000000</v>
      </c>
      <c r="G13" s="124" t="n">
        <f aca="false">$E$11/G12</f>
        <v>4000000</v>
      </c>
      <c r="H13" s="124" t="n">
        <f aca="false">$E$11/H12</f>
        <v>2000000</v>
      </c>
      <c r="I13" s="155"/>
      <c r="O13" s="100"/>
      <c r="P13" s="132"/>
      <c r="R13" s="97" t="s">
        <v>366</v>
      </c>
      <c r="S13" s="156" t="str">
        <f aca="false">"0x"&amp;DEC2HEX(S12,2)</f>
        <v>0x08</v>
      </c>
      <c r="U13" s="116" t="n">
        <v>10</v>
      </c>
      <c r="V13" s="117" t="s">
        <v>367</v>
      </c>
      <c r="W13" s="118" t="s">
        <v>283</v>
      </c>
      <c r="X13" s="119" t="n">
        <v>0</v>
      </c>
      <c r="Y13" s="117" t="n">
        <v>0</v>
      </c>
      <c r="Z13" s="153" t="s">
        <v>368</v>
      </c>
      <c r="AA13" s="153" t="s">
        <v>369</v>
      </c>
      <c r="AB13" s="120" t="s">
        <v>363</v>
      </c>
      <c r="AD13" s="86" t="s">
        <v>370</v>
      </c>
      <c r="AE13" s="86" t="s">
        <v>228</v>
      </c>
    </row>
    <row r="14" customFormat="false" ht="12.8" hidden="false" customHeight="false" outlineLevel="0" collapsed="false">
      <c r="A14" s="94" t="s">
        <v>371</v>
      </c>
      <c r="B14" s="154" t="n">
        <v>0</v>
      </c>
      <c r="D14" s="97" t="s">
        <v>303</v>
      </c>
      <c r="E14" s="130" t="n">
        <f aca="false">1/E13</f>
        <v>6.25E-008</v>
      </c>
      <c r="F14" s="130" t="n">
        <f aca="false">1/F13</f>
        <v>1.25E-007</v>
      </c>
      <c r="G14" s="130" t="n">
        <f aca="false">1/G13</f>
        <v>2.5E-007</v>
      </c>
      <c r="H14" s="131" t="n">
        <f aca="false">1/H13</f>
        <v>5E-007</v>
      </c>
      <c r="I14" s="155"/>
      <c r="J14" s="139"/>
      <c r="K14" s="139"/>
      <c r="L14" s="155"/>
      <c r="O14" s="157" t="s">
        <v>372</v>
      </c>
      <c r="P14" s="158" t="n">
        <f aca="false">P5+P12</f>
        <v>1.6622343505419E-005</v>
      </c>
      <c r="R14" s="159" t="s">
        <v>373</v>
      </c>
      <c r="S14" s="160" t="n">
        <f aca="false">S11*S12/32</f>
        <v>1.25</v>
      </c>
      <c r="U14" s="116" t="n">
        <v>11</v>
      </c>
      <c r="V14" s="117" t="s">
        <v>374</v>
      </c>
      <c r="W14" s="118" t="s">
        <v>283</v>
      </c>
      <c r="X14" s="119" t="n">
        <v>0</v>
      </c>
      <c r="Y14" s="117" t="n">
        <v>0</v>
      </c>
      <c r="Z14" s="153" t="s">
        <v>375</v>
      </c>
      <c r="AA14" s="153" t="s">
        <v>376</v>
      </c>
      <c r="AB14" s="120"/>
      <c r="AD14" s="121" t="s">
        <v>377</v>
      </c>
      <c r="AE14" s="121" t="s">
        <v>286</v>
      </c>
    </row>
    <row r="15" customFormat="false" ht="12.8" hidden="false" customHeight="false" outlineLevel="0" collapsed="false">
      <c r="A15" s="94" t="s">
        <v>378</v>
      </c>
      <c r="B15" s="161" t="n">
        <f aca="false">((HEX2DEC(B8)+1)*B13)/B3</f>
        <v>6.6875E-006</v>
      </c>
      <c r="C15" s="139"/>
      <c r="D15" s="111" t="s">
        <v>311</v>
      </c>
      <c r="E15" s="130" t="n">
        <f aca="false">E14*256</f>
        <v>1.6E-005</v>
      </c>
      <c r="F15" s="130" t="n">
        <f aca="false">F14*65536</f>
        <v>0.008192</v>
      </c>
      <c r="G15" s="130" t="n">
        <f aca="false">G14*65536</f>
        <v>0.016384</v>
      </c>
      <c r="H15" s="130" t="n">
        <f aca="false">H14*65536</f>
        <v>0.032768</v>
      </c>
      <c r="U15" s="116" t="n">
        <v>12</v>
      </c>
      <c r="V15" s="117" t="s">
        <v>379</v>
      </c>
      <c r="W15" s="118" t="s">
        <v>283</v>
      </c>
      <c r="X15" s="119" t="n">
        <v>0</v>
      </c>
      <c r="Y15" s="117" t="n">
        <v>0</v>
      </c>
      <c r="Z15" s="153" t="s">
        <v>380</v>
      </c>
      <c r="AA15" s="153" t="s">
        <v>381</v>
      </c>
      <c r="AB15" s="120" t="s">
        <v>382</v>
      </c>
      <c r="AD15" s="121" t="s">
        <v>383</v>
      </c>
      <c r="AE15" s="121" t="s">
        <v>384</v>
      </c>
    </row>
    <row r="16" customFormat="false" ht="12.8" hidden="false" customHeight="false" outlineLevel="0" collapsed="false">
      <c r="A16" s="94" t="s">
        <v>385</v>
      </c>
      <c r="B16" s="162" t="n">
        <f aca="false">1/B15</f>
        <v>149532.710280374</v>
      </c>
      <c r="D16" s="140" t="s">
        <v>322</v>
      </c>
      <c r="E16" s="163" t="n">
        <f aca="false">1/E15</f>
        <v>62500</v>
      </c>
      <c r="F16" s="163" t="n">
        <f aca="false">1/F15</f>
        <v>122.0703125</v>
      </c>
      <c r="G16" s="163" t="n">
        <f aca="false">1/G15</f>
        <v>61.03515625</v>
      </c>
      <c r="H16" s="164" t="n">
        <f aca="false">1/H15</f>
        <v>30.517578125</v>
      </c>
      <c r="U16" s="116" t="n">
        <v>13</v>
      </c>
      <c r="V16" s="117" t="s">
        <v>386</v>
      </c>
      <c r="W16" s="118" t="s">
        <v>387</v>
      </c>
      <c r="X16" s="119" t="n">
        <v>1</v>
      </c>
      <c r="Y16" s="117" t="n">
        <v>1</v>
      </c>
      <c r="Z16" s="149" t="s">
        <v>296</v>
      </c>
      <c r="AA16" s="149" t="s">
        <v>388</v>
      </c>
      <c r="AB16" s="120" t="s">
        <v>347</v>
      </c>
      <c r="AD16" s="121" t="s">
        <v>389</v>
      </c>
      <c r="AE16" s="121" t="s">
        <v>299</v>
      </c>
    </row>
    <row r="17" customFormat="false" ht="12.8" hidden="false" customHeight="false" outlineLevel="0" collapsed="false">
      <c r="A17" s="94" t="s">
        <v>390</v>
      </c>
      <c r="B17" s="165" t="n">
        <f aca="false">(HEX2DEC(B10)-HEX2DEC(B12))/(HEX2DEC(B8)+1)</f>
        <v>0.850467289719626</v>
      </c>
      <c r="C17" s="166"/>
      <c r="E17" s="167"/>
      <c r="O17" s="91" t="s">
        <v>391</v>
      </c>
      <c r="P17" s="91"/>
      <c r="R17" s="148" t="s">
        <v>392</v>
      </c>
      <c r="S17" s="148"/>
      <c r="U17" s="116" t="n">
        <v>14</v>
      </c>
      <c r="V17" s="117" t="s">
        <v>393</v>
      </c>
      <c r="W17" s="118" t="s">
        <v>394</v>
      </c>
      <c r="X17" s="119" t="n">
        <v>1</v>
      </c>
      <c r="Y17" s="117" t="n">
        <v>1</v>
      </c>
      <c r="Z17" s="129" t="s">
        <v>395</v>
      </c>
      <c r="AA17" s="129" t="s">
        <v>396</v>
      </c>
      <c r="AB17" s="120" t="s">
        <v>397</v>
      </c>
      <c r="AD17" s="121" t="s">
        <v>398</v>
      </c>
      <c r="AE17" s="121" t="s">
        <v>399</v>
      </c>
    </row>
    <row r="18" customFormat="false" ht="18.65" hidden="false" customHeight="true" outlineLevel="0" collapsed="false">
      <c r="A18" s="94" t="s">
        <v>400</v>
      </c>
      <c r="B18" s="168" t="n">
        <v>0.86</v>
      </c>
      <c r="D18" s="90" t="s">
        <v>401</v>
      </c>
      <c r="E18" s="90"/>
      <c r="F18" s="90"/>
      <c r="G18" s="90"/>
      <c r="H18" s="90"/>
      <c r="I18" s="90"/>
      <c r="J18" s="90"/>
      <c r="K18" s="90"/>
      <c r="L18" s="90"/>
      <c r="O18" s="169" t="s">
        <v>402</v>
      </c>
      <c r="P18" s="170" t="n">
        <v>25</v>
      </c>
      <c r="R18" s="97" t="s">
        <v>352</v>
      </c>
      <c r="S18" s="150" t="n">
        <v>4.096</v>
      </c>
      <c r="U18" s="116" t="n">
        <v>15</v>
      </c>
      <c r="V18" s="117" t="s">
        <v>403</v>
      </c>
      <c r="W18" s="118" t="s">
        <v>404</v>
      </c>
      <c r="X18" s="119" t="n">
        <v>1</v>
      </c>
      <c r="Y18" s="117" t="n">
        <v>0</v>
      </c>
      <c r="Z18" s="149" t="s">
        <v>405</v>
      </c>
      <c r="AA18" s="149" t="s">
        <v>406</v>
      </c>
      <c r="AB18" s="120" t="s">
        <v>407</v>
      </c>
      <c r="AD18" s="86" t="s">
        <v>408</v>
      </c>
      <c r="AE18" s="86" t="s">
        <v>228</v>
      </c>
    </row>
    <row r="19" customFormat="false" ht="18.65" hidden="false" customHeight="false" outlineLevel="0" collapsed="false">
      <c r="A19" s="94" t="s">
        <v>409</v>
      </c>
      <c r="B19" s="171" t="str">
        <f aca="false">DEC2HEX(HEX2DEC(B12)+(B18*HEX2DEC(B8)),4)</f>
        <v>005B</v>
      </c>
      <c r="D19" s="97" t="s">
        <v>258</v>
      </c>
      <c r="E19" s="98" t="n">
        <v>4000000</v>
      </c>
      <c r="F19" s="113"/>
      <c r="G19" s="113"/>
      <c r="H19" s="113"/>
      <c r="I19" s="113"/>
      <c r="J19" s="113"/>
      <c r="K19" s="113"/>
      <c r="L19" s="113"/>
      <c r="O19" s="169" t="s">
        <v>410</v>
      </c>
      <c r="P19" s="172" t="n">
        <v>0.01</v>
      </c>
      <c r="R19" s="97" t="s">
        <v>411</v>
      </c>
      <c r="S19" s="152" t="n">
        <v>950</v>
      </c>
      <c r="U19" s="116" t="n">
        <v>16</v>
      </c>
      <c r="V19" s="117" t="s">
        <v>412</v>
      </c>
      <c r="W19" s="118" t="s">
        <v>413</v>
      </c>
      <c r="X19" s="119" t="n">
        <v>1</v>
      </c>
      <c r="Y19" s="117" t="n">
        <v>0</v>
      </c>
      <c r="Z19" s="149" t="s">
        <v>405</v>
      </c>
      <c r="AA19" s="149" t="s">
        <v>414</v>
      </c>
      <c r="AB19" s="120" t="s">
        <v>407</v>
      </c>
      <c r="AD19" s="86" t="s">
        <v>415</v>
      </c>
      <c r="AE19" s="86" t="s">
        <v>228</v>
      </c>
    </row>
    <row r="20" customFormat="false" ht="18.65" hidden="false" customHeight="false" outlineLevel="0" collapsed="false">
      <c r="A20" s="94" t="s">
        <v>416</v>
      </c>
      <c r="B20" s="173" t="n">
        <v>150000</v>
      </c>
      <c r="D20" s="111" t="s">
        <v>279</v>
      </c>
      <c r="E20" s="112" t="n">
        <v>1</v>
      </c>
      <c r="F20" s="112" t="n">
        <v>2</v>
      </c>
      <c r="G20" s="112" t="n">
        <v>4</v>
      </c>
      <c r="H20" s="112" t="n">
        <v>8</v>
      </c>
      <c r="I20" s="112" t="n">
        <v>16</v>
      </c>
      <c r="J20" s="112" t="n">
        <v>32</v>
      </c>
      <c r="K20" s="112" t="n">
        <v>64</v>
      </c>
      <c r="L20" s="113" t="n">
        <v>128</v>
      </c>
      <c r="O20" s="169" t="s">
        <v>417</v>
      </c>
      <c r="P20" s="172" t="n">
        <v>0.5</v>
      </c>
      <c r="R20" s="97" t="s">
        <v>366</v>
      </c>
      <c r="S20" s="156" t="str">
        <f aca="false">"0x"&amp;DEC2HEX(S19,4)</f>
        <v>0x03B6</v>
      </c>
      <c r="U20" s="116" t="n">
        <v>17</v>
      </c>
      <c r="V20" s="117" t="s">
        <v>418</v>
      </c>
      <c r="W20" s="118" t="s">
        <v>419</v>
      </c>
      <c r="X20" s="119" t="n">
        <v>1</v>
      </c>
      <c r="Y20" s="117" t="n">
        <v>1</v>
      </c>
      <c r="Z20" s="174" t="s">
        <v>296</v>
      </c>
      <c r="AA20" s="174" t="s">
        <v>420</v>
      </c>
      <c r="AB20" s="120" t="s">
        <v>421</v>
      </c>
      <c r="AD20" s="86" t="s">
        <v>422</v>
      </c>
      <c r="AE20" s="86" t="s">
        <v>228</v>
      </c>
    </row>
    <row r="21" customFormat="false" ht="18.65" hidden="false" customHeight="false" outlineLevel="0" collapsed="false">
      <c r="A21" s="94" t="s">
        <v>423</v>
      </c>
      <c r="B21" s="109" t="n">
        <f aca="false">1/B20</f>
        <v>6.66666666666667E-006</v>
      </c>
      <c r="D21" s="97" t="s">
        <v>291</v>
      </c>
      <c r="E21" s="124" t="n">
        <f aca="false">$E$19/E20</f>
        <v>4000000</v>
      </c>
      <c r="F21" s="124" t="n">
        <f aca="false">$E$19/F20</f>
        <v>2000000</v>
      </c>
      <c r="G21" s="124" t="n">
        <f aca="false">$E$19/G20</f>
        <v>1000000</v>
      </c>
      <c r="H21" s="124" t="n">
        <f aca="false">$E$19/H20</f>
        <v>500000</v>
      </c>
      <c r="I21" s="124" t="n">
        <f aca="false">$E$19/I20</f>
        <v>250000</v>
      </c>
      <c r="J21" s="124" t="n">
        <f aca="false">$E$19/J20</f>
        <v>125000</v>
      </c>
      <c r="K21" s="124" t="n">
        <f aca="false">$E$19/K20</f>
        <v>62500</v>
      </c>
      <c r="L21" s="125" t="n">
        <f aca="false">$E$19/L20</f>
        <v>31250</v>
      </c>
      <c r="O21" s="175" t="s">
        <v>424</v>
      </c>
      <c r="P21" s="176" t="n">
        <f aca="false">(P19*P18)+P20</f>
        <v>0.75</v>
      </c>
      <c r="R21" s="159" t="s">
        <v>373</v>
      </c>
      <c r="S21" s="160" t="n">
        <f aca="false">S18*S19/1024</f>
        <v>3.8</v>
      </c>
      <c r="T21" s="86" t="n">
        <f aca="false">S21*14</f>
        <v>53.2</v>
      </c>
      <c r="U21" s="116" t="n">
        <v>18</v>
      </c>
      <c r="V21" s="117" t="s">
        <v>425</v>
      </c>
      <c r="W21" s="118" t="s">
        <v>426</v>
      </c>
      <c r="X21" s="119" t="n">
        <v>0</v>
      </c>
      <c r="Y21" s="117" t="n">
        <v>0</v>
      </c>
      <c r="Z21" s="177" t="s">
        <v>427</v>
      </c>
      <c r="AA21" s="177" t="s">
        <v>428</v>
      </c>
      <c r="AB21" s="120" t="s">
        <v>429</v>
      </c>
      <c r="AD21" s="121" t="s">
        <v>430</v>
      </c>
      <c r="AE21" s="121" t="s">
        <v>431</v>
      </c>
    </row>
    <row r="22" customFormat="false" ht="12.8" hidden="false" customHeight="false" outlineLevel="0" collapsed="false">
      <c r="A22" s="178" t="s">
        <v>432</v>
      </c>
      <c r="B22" s="179" t="str">
        <f aca="false">DEC2HEX((((B21*B3)/B13)-1),4)</f>
        <v>0069</v>
      </c>
      <c r="D22" s="97" t="s">
        <v>303</v>
      </c>
      <c r="E22" s="130" t="n">
        <f aca="false">1/E21</f>
        <v>2.5E-007</v>
      </c>
      <c r="F22" s="130" t="n">
        <f aca="false">1/F21</f>
        <v>5E-007</v>
      </c>
      <c r="G22" s="130" t="n">
        <f aca="false">1/G21</f>
        <v>1E-006</v>
      </c>
      <c r="H22" s="130" t="n">
        <f aca="false">1/H21</f>
        <v>2E-006</v>
      </c>
      <c r="I22" s="130" t="n">
        <f aca="false">1/I21</f>
        <v>4E-006</v>
      </c>
      <c r="J22" s="130" t="n">
        <f aca="false">1/J21</f>
        <v>8E-006</v>
      </c>
      <c r="K22" s="130" t="n">
        <f aca="false">1/K21</f>
        <v>1.6E-005</v>
      </c>
      <c r="L22" s="131" t="n">
        <f aca="false">1/L21</f>
        <v>3.2E-005</v>
      </c>
      <c r="U22" s="116" t="n">
        <v>19</v>
      </c>
      <c r="V22" s="117" t="s">
        <v>353</v>
      </c>
      <c r="W22" s="118" t="s">
        <v>283</v>
      </c>
      <c r="X22" s="119" t="s">
        <v>283</v>
      </c>
      <c r="Y22" s="117" t="s">
        <v>283</v>
      </c>
      <c r="Z22" s="117" t="s">
        <v>353</v>
      </c>
      <c r="AA22" s="117" t="s">
        <v>353</v>
      </c>
      <c r="AB22" s="120"/>
      <c r="AD22" s="86" t="s">
        <v>433</v>
      </c>
      <c r="AE22" s="86" t="s">
        <v>228</v>
      </c>
    </row>
    <row r="23" customFormat="false" ht="12.8" hidden="false" customHeight="false" outlineLevel="0" collapsed="false">
      <c r="A23" s="0"/>
      <c r="B23" s="0"/>
      <c r="D23" s="111" t="s">
        <v>311</v>
      </c>
      <c r="E23" s="130" t="n">
        <f aca="false">E22*256</f>
        <v>6.4E-005</v>
      </c>
      <c r="F23" s="130" t="n">
        <f aca="false">F22*256</f>
        <v>0.000128</v>
      </c>
      <c r="G23" s="130" t="n">
        <f aca="false">G22*256</f>
        <v>0.000256</v>
      </c>
      <c r="H23" s="130" t="n">
        <f aca="false">H22*256</f>
        <v>0.000512</v>
      </c>
      <c r="I23" s="130" t="n">
        <f aca="false">I22*256</f>
        <v>0.001024</v>
      </c>
      <c r="J23" s="130" t="n">
        <f aca="false">J22*256</f>
        <v>0.002048</v>
      </c>
      <c r="K23" s="130" t="n">
        <f aca="false">K22*256</f>
        <v>0.004096</v>
      </c>
      <c r="L23" s="130" t="n">
        <f aca="false">L22*256</f>
        <v>0.008192</v>
      </c>
      <c r="O23" s="180" t="s">
        <v>434</v>
      </c>
      <c r="P23" s="180"/>
      <c r="R23" s="57" t="s">
        <v>435</v>
      </c>
      <c r="S23" s="57"/>
      <c r="U23" s="116" t="n">
        <v>20</v>
      </c>
      <c r="V23" s="117" t="s">
        <v>436</v>
      </c>
      <c r="W23" s="118" t="s">
        <v>283</v>
      </c>
      <c r="X23" s="119" t="s">
        <v>283</v>
      </c>
      <c r="Y23" s="117" t="s">
        <v>283</v>
      </c>
      <c r="Z23" s="117" t="s">
        <v>436</v>
      </c>
      <c r="AA23" s="117" t="s">
        <v>436</v>
      </c>
      <c r="AB23" s="120"/>
      <c r="AD23" s="121" t="s">
        <v>437</v>
      </c>
      <c r="AE23" s="121" t="s">
        <v>438</v>
      </c>
    </row>
    <row r="24" customFormat="false" ht="12.8" hidden="false" customHeight="false" outlineLevel="0" collapsed="false">
      <c r="A24" s="148" t="s">
        <v>439</v>
      </c>
      <c r="B24" s="148"/>
      <c r="D24" s="97" t="s">
        <v>440</v>
      </c>
      <c r="E24" s="181" t="n">
        <v>185</v>
      </c>
      <c r="F24" s="181" t="n">
        <v>185</v>
      </c>
      <c r="G24" s="181" t="n">
        <v>255</v>
      </c>
      <c r="H24" s="181" t="n">
        <v>250</v>
      </c>
      <c r="I24" s="181" t="n">
        <v>250</v>
      </c>
      <c r="J24" s="181" t="n">
        <v>255</v>
      </c>
      <c r="K24" s="181" t="n">
        <v>255</v>
      </c>
      <c r="L24" s="182" t="n">
        <v>255</v>
      </c>
      <c r="O24" s="183" t="s">
        <v>441</v>
      </c>
      <c r="P24" s="184" t="n">
        <v>12</v>
      </c>
      <c r="R24" s="185" t="s">
        <v>442</v>
      </c>
      <c r="S24" s="186" t="n">
        <v>0.00481</v>
      </c>
      <c r="U24" s="116" t="n">
        <v>21</v>
      </c>
      <c r="V24" s="117" t="s">
        <v>443</v>
      </c>
      <c r="W24" s="118" t="s">
        <v>444</v>
      </c>
      <c r="X24" s="119" t="n">
        <v>0</v>
      </c>
      <c r="Y24" s="117" t="n">
        <v>0</v>
      </c>
      <c r="Z24" s="146" t="s">
        <v>445</v>
      </c>
      <c r="AA24" s="146" t="s">
        <v>445</v>
      </c>
      <c r="AB24" s="120" t="s">
        <v>446</v>
      </c>
      <c r="AD24" s="86" t="s">
        <v>447</v>
      </c>
      <c r="AE24" s="86" t="s">
        <v>228</v>
      </c>
    </row>
    <row r="25" customFormat="false" ht="12.8" hidden="false" customHeight="false" outlineLevel="0" collapsed="false">
      <c r="A25" s="187" t="s">
        <v>448</v>
      </c>
      <c r="B25" s="188" t="n">
        <v>16000000</v>
      </c>
      <c r="D25" s="111" t="s">
        <v>449</v>
      </c>
      <c r="E25" s="130" t="n">
        <f aca="false">(E24*E22)</f>
        <v>4.625E-005</v>
      </c>
      <c r="F25" s="130" t="n">
        <f aca="false">(F24*F22)</f>
        <v>9.25E-005</v>
      </c>
      <c r="G25" s="130" t="n">
        <f aca="false">(G24*G22)</f>
        <v>0.000255</v>
      </c>
      <c r="H25" s="130" t="n">
        <f aca="false">(H24*H22)</f>
        <v>0.0005</v>
      </c>
      <c r="I25" s="130" t="n">
        <f aca="false">(I24*I22)</f>
        <v>0.001</v>
      </c>
      <c r="J25" s="130" t="n">
        <f aca="false">(J24*J22)</f>
        <v>0.00204</v>
      </c>
      <c r="K25" s="130" t="n">
        <f aca="false">(K24*K22)</f>
        <v>0.00408</v>
      </c>
      <c r="L25" s="131" t="n">
        <f aca="false">(L24*L22)</f>
        <v>0.00816</v>
      </c>
      <c r="O25" s="183" t="s">
        <v>450</v>
      </c>
      <c r="P25" s="184" t="n">
        <v>5</v>
      </c>
      <c r="R25" s="185" t="s">
        <v>451</v>
      </c>
      <c r="S25" s="186" t="n">
        <f aca="false">ROUNDDOWN(S5/S24,0)</f>
        <v>1020</v>
      </c>
      <c r="U25" s="116" t="n">
        <v>22</v>
      </c>
      <c r="V25" s="117" t="s">
        <v>452</v>
      </c>
      <c r="W25" s="118" t="s">
        <v>453</v>
      </c>
      <c r="X25" s="119" t="n">
        <v>0</v>
      </c>
      <c r="Y25" s="117" t="n">
        <v>1</v>
      </c>
      <c r="Z25" s="117" t="s">
        <v>454</v>
      </c>
      <c r="AA25" s="117" t="s">
        <v>455</v>
      </c>
      <c r="AB25" s="120"/>
      <c r="AD25" s="86" t="s">
        <v>456</v>
      </c>
      <c r="AE25" s="86" t="s">
        <v>228</v>
      </c>
    </row>
    <row r="26" customFormat="false" ht="12.8" hidden="false" customHeight="false" outlineLevel="0" collapsed="false">
      <c r="A26" s="187" t="s">
        <v>278</v>
      </c>
      <c r="B26" s="189" t="n">
        <f aca="false">1/B25</f>
        <v>6.25E-008</v>
      </c>
      <c r="D26" s="111" t="s">
        <v>457</v>
      </c>
      <c r="E26" s="181" t="n">
        <v>2</v>
      </c>
      <c r="F26" s="181" t="n">
        <v>1</v>
      </c>
      <c r="G26" s="181" t="n">
        <v>1</v>
      </c>
      <c r="H26" s="181" t="n">
        <v>1</v>
      </c>
      <c r="I26" s="181" t="n">
        <v>1</v>
      </c>
      <c r="J26" s="181" t="n">
        <v>1</v>
      </c>
      <c r="K26" s="181" t="n">
        <v>1</v>
      </c>
      <c r="L26" s="182" t="n">
        <v>1</v>
      </c>
      <c r="O26" s="183" t="s">
        <v>458</v>
      </c>
      <c r="P26" s="190" t="n">
        <v>8.3E-005</v>
      </c>
      <c r="R26" s="185" t="s">
        <v>459</v>
      </c>
      <c r="S26" s="120" t="n">
        <v>26</v>
      </c>
      <c r="U26" s="116" t="n">
        <v>23</v>
      </c>
      <c r="V26" s="117" t="s">
        <v>460</v>
      </c>
      <c r="W26" s="118" t="s">
        <v>461</v>
      </c>
      <c r="X26" s="119" t="n">
        <v>1</v>
      </c>
      <c r="Y26" s="117" t="n">
        <v>1</v>
      </c>
      <c r="Z26" s="117" t="s">
        <v>462</v>
      </c>
      <c r="AA26" s="117" t="s">
        <v>463</v>
      </c>
      <c r="AB26" s="120"/>
      <c r="AD26" s="121" t="s">
        <v>464</v>
      </c>
      <c r="AE26" s="121" t="s">
        <v>465</v>
      </c>
    </row>
    <row r="27" customFormat="false" ht="12.8" hidden="false" customHeight="false" outlineLevel="0" collapsed="false">
      <c r="A27" s="187" t="s">
        <v>290</v>
      </c>
      <c r="B27" s="191" t="n">
        <f aca="false">B25/4</f>
        <v>4000000</v>
      </c>
      <c r="D27" s="111" t="s">
        <v>466</v>
      </c>
      <c r="E27" s="130" t="n">
        <f aca="false">E25*E26</f>
        <v>9.25E-005</v>
      </c>
      <c r="F27" s="130" t="n">
        <f aca="false">F25*F26</f>
        <v>9.25E-005</v>
      </c>
      <c r="G27" s="130" t="n">
        <f aca="false">G25*G26</f>
        <v>0.000255</v>
      </c>
      <c r="H27" s="130" t="n">
        <f aca="false">H25*H26</f>
        <v>0.0005</v>
      </c>
      <c r="I27" s="130" t="n">
        <f aca="false">I25*I26</f>
        <v>0.001</v>
      </c>
      <c r="J27" s="130" t="n">
        <f aca="false">J25*J26</f>
        <v>0.00204</v>
      </c>
      <c r="K27" s="130" t="n">
        <f aca="false">K25*K26</f>
        <v>0.00408</v>
      </c>
      <c r="L27" s="131" t="n">
        <f aca="false">L25*L26</f>
        <v>0.00816</v>
      </c>
      <c r="O27" s="192" t="s">
        <v>467</v>
      </c>
      <c r="P27" s="193"/>
      <c r="R27" s="73" t="s">
        <v>468</v>
      </c>
      <c r="S27" s="75" t="n">
        <v>10</v>
      </c>
      <c r="U27" s="116" t="n">
        <v>24</v>
      </c>
      <c r="V27" s="117" t="s">
        <v>469</v>
      </c>
      <c r="W27" s="118" t="s">
        <v>470</v>
      </c>
      <c r="X27" s="119" t="n">
        <v>1</v>
      </c>
      <c r="Y27" s="117" t="n">
        <v>1</v>
      </c>
      <c r="Z27" s="117" t="s">
        <v>471</v>
      </c>
      <c r="AA27" s="117" t="s">
        <v>472</v>
      </c>
      <c r="AB27" s="120" t="s">
        <v>397</v>
      </c>
      <c r="AD27" s="121" t="s">
        <v>473</v>
      </c>
      <c r="AE27" s="121" t="s">
        <v>474</v>
      </c>
    </row>
    <row r="28" customFormat="false" ht="12.8" hidden="false" customHeight="false" outlineLevel="0" collapsed="false">
      <c r="A28" s="187" t="s">
        <v>302</v>
      </c>
      <c r="B28" s="189" t="n">
        <f aca="false">1/B27</f>
        <v>2.5E-007</v>
      </c>
      <c r="D28" s="140" t="s">
        <v>322</v>
      </c>
      <c r="E28" s="194" t="n">
        <f aca="false">1/E27</f>
        <v>10810.8108108108</v>
      </c>
      <c r="F28" s="194" t="n">
        <f aca="false">1/F27</f>
        <v>10810.8108108108</v>
      </c>
      <c r="G28" s="194" t="n">
        <f aca="false">1/G27</f>
        <v>3921.56862745098</v>
      </c>
      <c r="H28" s="194" t="n">
        <f aca="false">1/H27</f>
        <v>2000</v>
      </c>
      <c r="I28" s="194" t="n">
        <f aca="false">1/I27</f>
        <v>1000</v>
      </c>
      <c r="J28" s="194" t="n">
        <f aca="false">1/J27</f>
        <v>490.196078431373</v>
      </c>
      <c r="K28" s="194" t="n">
        <f aca="false">1/K27</f>
        <v>245.098039215686</v>
      </c>
      <c r="L28" s="195" t="n">
        <f aca="false">1/L27</f>
        <v>122.549019607843</v>
      </c>
      <c r="O28" s="183" t="s">
        <v>475</v>
      </c>
      <c r="P28" s="184" t="n">
        <v>0.002</v>
      </c>
      <c r="R28" s="185" t="s">
        <v>476</v>
      </c>
      <c r="S28" s="120" t="n">
        <v>100</v>
      </c>
      <c r="U28" s="116" t="n">
        <v>25</v>
      </c>
      <c r="V28" s="117" t="s">
        <v>477</v>
      </c>
      <c r="W28" s="118" t="s">
        <v>478</v>
      </c>
      <c r="X28" s="119" t="n">
        <v>0</v>
      </c>
      <c r="Y28" s="117" t="n">
        <v>0</v>
      </c>
      <c r="Z28" s="117" t="s">
        <v>479</v>
      </c>
      <c r="AA28" s="117" t="s">
        <v>480</v>
      </c>
      <c r="AB28" s="120"/>
      <c r="AD28" s="86" t="s">
        <v>481</v>
      </c>
      <c r="AE28" s="86" t="s">
        <v>228</v>
      </c>
    </row>
    <row r="29" customFormat="false" ht="12.8" hidden="false" customHeight="false" outlineLevel="0" collapsed="false">
      <c r="A29" s="187" t="s">
        <v>482</v>
      </c>
      <c r="B29" s="196" t="n">
        <f aca="false">B33/B28</f>
        <v>40</v>
      </c>
      <c r="O29" s="183" t="s">
        <v>483</v>
      </c>
      <c r="P29" s="184" t="n">
        <v>0.002</v>
      </c>
      <c r="R29" s="185" t="s">
        <v>484</v>
      </c>
      <c r="S29" s="120" t="n">
        <v>5</v>
      </c>
      <c r="U29" s="116" t="n">
        <v>26</v>
      </c>
      <c r="V29" s="117" t="s">
        <v>485</v>
      </c>
      <c r="W29" s="118" t="s">
        <v>486</v>
      </c>
      <c r="X29" s="119" t="n">
        <v>1</v>
      </c>
      <c r="Y29" s="117" t="n">
        <v>1</v>
      </c>
      <c r="Z29" s="146" t="s">
        <v>296</v>
      </c>
      <c r="AA29" s="146" t="s">
        <v>487</v>
      </c>
      <c r="AB29" s="120"/>
      <c r="AD29" s="86" t="s">
        <v>488</v>
      </c>
      <c r="AE29" s="86" t="s">
        <v>228</v>
      </c>
    </row>
    <row r="30" customFormat="false" ht="12.8" hidden="false" customHeight="false" outlineLevel="0" collapsed="false">
      <c r="A30" s="187" t="s">
        <v>489</v>
      </c>
      <c r="B30" s="197" t="s">
        <v>490</v>
      </c>
      <c r="O30" s="183" t="s">
        <v>491</v>
      </c>
      <c r="P30" s="184" t="n">
        <v>0.002</v>
      </c>
      <c r="R30" s="185" t="s">
        <v>492</v>
      </c>
      <c r="S30" s="186" t="n">
        <f aca="false">ROUNDDOWN(1000/S29,0)</f>
        <v>200</v>
      </c>
      <c r="U30" s="116" t="n">
        <v>27</v>
      </c>
      <c r="V30" s="117" t="s">
        <v>493</v>
      </c>
      <c r="W30" s="118" t="s">
        <v>283</v>
      </c>
      <c r="X30" s="119" t="n">
        <v>0</v>
      </c>
      <c r="Y30" s="117" t="n">
        <v>0</v>
      </c>
      <c r="Z30" s="117" t="s">
        <v>494</v>
      </c>
      <c r="AA30" s="117" t="s">
        <v>495</v>
      </c>
      <c r="AB30" s="120"/>
      <c r="AD30" s="121" t="s">
        <v>496</v>
      </c>
      <c r="AE30" s="121" t="s">
        <v>497</v>
      </c>
    </row>
    <row r="31" customFormat="false" ht="12.8" hidden="false" customHeight="false" outlineLevel="0" collapsed="false">
      <c r="A31" s="187" t="s">
        <v>365</v>
      </c>
      <c r="B31" s="198" t="n">
        <v>1</v>
      </c>
      <c r="O31" s="183" t="s">
        <v>228</v>
      </c>
      <c r="P31" s="184" t="n">
        <v>0</v>
      </c>
      <c r="R31" s="185" t="s">
        <v>498</v>
      </c>
      <c r="S31" s="120" t="n">
        <v>14</v>
      </c>
      <c r="U31" s="199" t="n">
        <v>28</v>
      </c>
      <c r="V31" s="200" t="s">
        <v>499</v>
      </c>
      <c r="W31" s="201" t="s">
        <v>283</v>
      </c>
      <c r="X31" s="202" t="n">
        <v>1</v>
      </c>
      <c r="Y31" s="200" t="n">
        <v>0</v>
      </c>
      <c r="Z31" s="200" t="s">
        <v>494</v>
      </c>
      <c r="AA31" s="200" t="s">
        <v>500</v>
      </c>
      <c r="AB31" s="203"/>
      <c r="AD31" s="86" t="s">
        <v>501</v>
      </c>
      <c r="AE31" s="86" t="s">
        <v>228</v>
      </c>
    </row>
    <row r="32" customFormat="false" ht="12.8" hidden="false" customHeight="false" outlineLevel="0" collapsed="false">
      <c r="A32" s="187" t="s">
        <v>371</v>
      </c>
      <c r="B32" s="198" t="n">
        <v>2</v>
      </c>
      <c r="O32" s="183" t="s">
        <v>228</v>
      </c>
      <c r="P32" s="184" t="n">
        <v>0</v>
      </c>
      <c r="R32" s="185" t="s">
        <v>502</v>
      </c>
      <c r="S32" s="186" t="n">
        <f aca="false">S25-ROUNDDOWN(S25/S26,0)</f>
        <v>981</v>
      </c>
      <c r="U32" s="0"/>
      <c r="V32" s="0"/>
      <c r="W32" s="0"/>
      <c r="X32" s="0"/>
      <c r="Y32" s="0"/>
      <c r="Z32" s="0"/>
      <c r="AA32" s="0"/>
      <c r="AB32" s="0"/>
      <c r="AD32" s="86" t="s">
        <v>503</v>
      </c>
      <c r="AE32" s="86" t="s">
        <v>228</v>
      </c>
    </row>
    <row r="33" customFormat="false" ht="12.8" hidden="false" customHeight="false" outlineLevel="0" collapsed="false">
      <c r="A33" s="187" t="s">
        <v>504</v>
      </c>
      <c r="B33" s="204" t="n">
        <f aca="false">(HEX2DEC(B30)+1)*4*B26*B31</f>
        <v>1E-005</v>
      </c>
      <c r="O33" s="183" t="s">
        <v>228</v>
      </c>
      <c r="P33" s="184" t="n">
        <v>0</v>
      </c>
      <c r="R33" s="185" t="s">
        <v>505</v>
      </c>
      <c r="S33" s="186" t="n">
        <f aca="false">S32*S31</f>
        <v>13734</v>
      </c>
      <c r="U33" s="0"/>
      <c r="V33" s="0"/>
      <c r="W33" s="0"/>
      <c r="X33" s="0"/>
      <c r="Y33" s="0"/>
      <c r="Z33" s="0"/>
      <c r="AA33" s="0"/>
      <c r="AB33" s="0"/>
      <c r="AD33" s="86" t="s">
        <v>506</v>
      </c>
      <c r="AE33" s="86" t="s">
        <v>228</v>
      </c>
    </row>
    <row r="34" customFormat="false" ht="12.8" hidden="false" customHeight="false" outlineLevel="0" collapsed="false">
      <c r="A34" s="187" t="s">
        <v>507</v>
      </c>
      <c r="B34" s="205" t="n">
        <f aca="false">1/B33</f>
        <v>100000</v>
      </c>
      <c r="O34" s="183" t="s">
        <v>228</v>
      </c>
      <c r="P34" s="184" t="n">
        <v>0</v>
      </c>
      <c r="R34" s="185" t="s">
        <v>508</v>
      </c>
      <c r="S34" s="206" t="n">
        <f aca="false">ROUNDDOWN(S33/S30,0)</f>
        <v>68</v>
      </c>
      <c r="U34" s="0"/>
      <c r="V34" s="0"/>
      <c r="W34" s="0"/>
      <c r="X34" s="0"/>
      <c r="Y34" s="0"/>
      <c r="Z34" s="0"/>
      <c r="AA34" s="0"/>
      <c r="AB34" s="0"/>
      <c r="AD34" s="86" t="s">
        <v>509</v>
      </c>
      <c r="AE34" s="86" t="s">
        <v>228</v>
      </c>
    </row>
    <row r="35" customFormat="false" ht="12.8" hidden="false" customHeight="false" outlineLevel="0" collapsed="false">
      <c r="A35" s="187" t="s">
        <v>510</v>
      </c>
      <c r="B35" s="207" t="n">
        <f aca="false">ROUND(((LOG10(4*(HEX2DEC(B30)+1)))/LOG10(2)),0)</f>
        <v>7</v>
      </c>
      <c r="O35" s="183" t="s">
        <v>228</v>
      </c>
      <c r="P35" s="184" t="n">
        <v>0</v>
      </c>
      <c r="R35" s="185" t="s">
        <v>511</v>
      </c>
      <c r="S35" s="186" t="n">
        <f aca="false">ROUNDDOWN((MOD(S33,S30)*S29)/S27,0)</f>
        <v>67</v>
      </c>
      <c r="U35" s="0"/>
      <c r="V35" s="0"/>
      <c r="W35" s="0"/>
      <c r="X35" s="0"/>
      <c r="Y35" s="0"/>
      <c r="Z35" s="0"/>
      <c r="AA35" s="0"/>
      <c r="AB35" s="0"/>
      <c r="AD35" s="121" t="s">
        <v>512</v>
      </c>
      <c r="AE35" s="121" t="s">
        <v>513</v>
      </c>
    </row>
    <row r="36" customFormat="false" ht="12.8" hidden="false" customHeight="false" outlineLevel="0" collapsed="false">
      <c r="A36" s="187" t="s">
        <v>514</v>
      </c>
      <c r="B36" s="208" t="n">
        <f aca="false">POWER(2,B35)-B32</f>
        <v>126</v>
      </c>
      <c r="O36" s="183" t="s">
        <v>228</v>
      </c>
      <c r="P36" s="184" t="n">
        <v>0</v>
      </c>
      <c r="R36" s="209" t="s">
        <v>515</v>
      </c>
      <c r="S36" s="210" t="n">
        <f aca="false">(S34*S28)+S35</f>
        <v>6867</v>
      </c>
      <c r="U36" s="0"/>
      <c r="V36" s="0"/>
      <c r="W36" s="0"/>
      <c r="X36" s="0"/>
      <c r="Y36" s="0"/>
      <c r="Z36" s="0"/>
      <c r="AA36" s="0"/>
      <c r="AB36" s="0"/>
      <c r="AD36" s="121" t="s">
        <v>516</v>
      </c>
      <c r="AE36" s="121" t="s">
        <v>517</v>
      </c>
    </row>
    <row r="37" customFormat="false" ht="12.8" hidden="false" customHeight="false" outlineLevel="0" collapsed="false">
      <c r="A37" s="187" t="s">
        <v>518</v>
      </c>
      <c r="B37" s="197" t="s">
        <v>519</v>
      </c>
      <c r="O37" s="211" t="s">
        <v>520</v>
      </c>
      <c r="P37" s="212" t="n">
        <f aca="false">SUM(P28:P36)</f>
        <v>0.006</v>
      </c>
      <c r="R37" s="0"/>
      <c r="S37" s="0"/>
      <c r="U37" s="0"/>
      <c r="V37" s="0"/>
      <c r="W37" s="0"/>
      <c r="X37" s="0"/>
      <c r="Y37" s="0"/>
      <c r="Z37" s="0"/>
      <c r="AA37" s="0"/>
      <c r="AB37" s="0"/>
      <c r="AD37" s="86" t="s">
        <v>521</v>
      </c>
      <c r="AE37" s="86" t="s">
        <v>228</v>
      </c>
    </row>
    <row r="38" customFormat="false" ht="12.8" hidden="false" customHeight="false" outlineLevel="0" collapsed="false">
      <c r="A38" s="187" t="s">
        <v>522</v>
      </c>
      <c r="B38" s="213" t="n">
        <f aca="false">HEX2DEC(B37)*B26*B31</f>
        <v>1E-006</v>
      </c>
      <c r="O38" s="183" t="s">
        <v>523</v>
      </c>
      <c r="P38" s="214" t="n">
        <f aca="false">(P24-P25)/(P26+P37)</f>
        <v>1150.74798619102</v>
      </c>
      <c r="R38" s="57" t="s">
        <v>524</v>
      </c>
      <c r="S38" s="57"/>
      <c r="U38" s="0"/>
      <c r="V38" s="0"/>
      <c r="W38" s="0"/>
      <c r="X38" s="0"/>
      <c r="Y38" s="0"/>
      <c r="Z38" s="0"/>
      <c r="AA38" s="0"/>
      <c r="AB38" s="0"/>
      <c r="AD38" s="121" t="s">
        <v>525</v>
      </c>
      <c r="AE38" s="121" t="s">
        <v>526</v>
      </c>
    </row>
    <row r="39" customFormat="false" ht="12.8" hidden="false" customHeight="false" outlineLevel="0" collapsed="false">
      <c r="A39" s="215" t="s">
        <v>527</v>
      </c>
      <c r="B39" s="216" t="n">
        <f aca="false">B38/B33</f>
        <v>0.1</v>
      </c>
      <c r="O39" s="183" t="s">
        <v>528</v>
      </c>
      <c r="P39" s="120" t="n">
        <v>1000</v>
      </c>
      <c r="R39" s="217" t="s">
        <v>529</v>
      </c>
      <c r="S39" s="218"/>
      <c r="U39" s="0"/>
      <c r="V39" s="0"/>
      <c r="W39" s="0"/>
      <c r="X39" s="0"/>
      <c r="Y39" s="0"/>
      <c r="Z39" s="0"/>
      <c r="AA39" s="0"/>
      <c r="AB39" s="0"/>
      <c r="AD39" s="121" t="s">
        <v>530</v>
      </c>
      <c r="AE39" s="121" t="s">
        <v>531</v>
      </c>
    </row>
    <row r="40" customFormat="false" ht="12.8" hidden="false" customHeight="false" outlineLevel="0" collapsed="false">
      <c r="O40" s="183" t="s">
        <v>532</v>
      </c>
      <c r="P40" s="214" t="n">
        <f aca="false">POWER(((P24-P25)/P39),2)*P39</f>
        <v>0.049</v>
      </c>
      <c r="R40" s="73" t="s">
        <v>533</v>
      </c>
      <c r="S40" s="75" t="n">
        <v>170</v>
      </c>
      <c r="U40" s="0"/>
      <c r="V40" s="0"/>
      <c r="W40" s="0"/>
      <c r="X40" s="0"/>
      <c r="Y40" s="0"/>
      <c r="Z40" s="0"/>
      <c r="AA40" s="0"/>
      <c r="AB40" s="0"/>
      <c r="AD40" s="86" t="s">
        <v>534</v>
      </c>
      <c r="AE40" s="86" t="s">
        <v>228</v>
      </c>
    </row>
    <row r="41" customFormat="false" ht="12.8" hidden="false" customHeight="false" outlineLevel="0" collapsed="false">
      <c r="O41" s="183" t="s">
        <v>535</v>
      </c>
      <c r="P41" s="214" t="n">
        <f aca="false">((P24-P25)/P39)*P25</f>
        <v>0.035</v>
      </c>
      <c r="R41" s="73" t="s">
        <v>536</v>
      </c>
      <c r="S41" s="75" t="n">
        <v>3</v>
      </c>
      <c r="U41" s="0"/>
      <c r="V41" s="0"/>
      <c r="W41" s="0"/>
      <c r="X41" s="0"/>
      <c r="Y41" s="0"/>
      <c r="Z41" s="0"/>
      <c r="AA41" s="0"/>
      <c r="AB41" s="0"/>
      <c r="AD41" s="86" t="s">
        <v>537</v>
      </c>
      <c r="AE41" s="86" t="s">
        <v>228</v>
      </c>
    </row>
    <row r="42" customFormat="false" ht="12.8" hidden="false" customHeight="false" outlineLevel="0" collapsed="false">
      <c r="O42" s="219" t="s">
        <v>538</v>
      </c>
      <c r="P42" s="220" t="n">
        <f aca="false">SUM(P40+P41)</f>
        <v>0.084</v>
      </c>
      <c r="R42" s="73" t="s">
        <v>539</v>
      </c>
      <c r="S42" s="221" t="str">
        <f aca="false">DEC2HEX(S41,2)&amp;DEC2HEX(S40,2)</f>
        <v>03AA</v>
      </c>
      <c r="U42" s="0"/>
      <c r="V42" s="0"/>
      <c r="W42" s="0"/>
      <c r="X42" s="0"/>
      <c r="Y42" s="0"/>
      <c r="Z42" s="0"/>
      <c r="AA42" s="0"/>
      <c r="AB42" s="0"/>
      <c r="AD42" s="86" t="s">
        <v>540</v>
      </c>
      <c r="AE42" s="86" t="s">
        <v>228</v>
      </c>
    </row>
    <row r="43" customFormat="false" ht="12.8" hidden="false" customHeight="false" outlineLevel="0" collapsed="false">
      <c r="R43" s="209" t="s">
        <v>541</v>
      </c>
      <c r="S43" s="222" t="n">
        <f aca="false">HEX2DEC(S42)</f>
        <v>938</v>
      </c>
      <c r="U43" s="0"/>
      <c r="V43" s="0"/>
      <c r="W43" s="0"/>
      <c r="X43" s="0"/>
      <c r="Y43" s="0"/>
      <c r="Z43" s="0"/>
      <c r="AA43" s="0"/>
      <c r="AB43" s="0"/>
      <c r="AD43" s="86" t="s">
        <v>542</v>
      </c>
      <c r="AE43" s="86" t="s">
        <v>228</v>
      </c>
    </row>
    <row r="44" customFormat="false" ht="12.8" hidden="false" customHeight="false" outlineLevel="0" collapsed="false">
      <c r="R44" s="223" t="s">
        <v>543</v>
      </c>
      <c r="S44" s="224"/>
      <c r="U44" s="0"/>
      <c r="V44" s="0"/>
      <c r="W44" s="0"/>
      <c r="X44" s="0"/>
      <c r="Y44" s="0"/>
      <c r="Z44" s="0"/>
      <c r="AA44" s="0"/>
      <c r="AB44" s="0"/>
      <c r="AD44" s="86" t="s">
        <v>544</v>
      </c>
      <c r="AE44" s="86" t="s">
        <v>228</v>
      </c>
    </row>
    <row r="45" customFormat="false" ht="12.8" hidden="false" customHeight="false" outlineLevel="0" collapsed="false">
      <c r="R45" s="185" t="s">
        <v>541</v>
      </c>
      <c r="S45" s="120" t="n">
        <v>950</v>
      </c>
      <c r="U45" s="0"/>
      <c r="V45" s="0"/>
      <c r="W45" s="0"/>
      <c r="X45" s="0"/>
      <c r="Y45" s="0"/>
      <c r="Z45" s="0"/>
      <c r="AA45" s="0"/>
      <c r="AB45" s="0"/>
      <c r="AD45" s="121" t="s">
        <v>405</v>
      </c>
      <c r="AE45" s="121" t="s">
        <v>545</v>
      </c>
    </row>
    <row r="46" customFormat="false" ht="12.8" hidden="false" customHeight="false" outlineLevel="0" collapsed="false">
      <c r="R46" s="185" t="s">
        <v>539</v>
      </c>
      <c r="S46" s="225" t="str">
        <f aca="false">DEC2HEX(S45,4)</f>
        <v>03B6</v>
      </c>
      <c r="U46" s="0"/>
      <c r="V46" s="0"/>
      <c r="W46" s="0"/>
      <c r="X46" s="0"/>
      <c r="Y46" s="0"/>
      <c r="Z46" s="0"/>
      <c r="AA46" s="0"/>
      <c r="AB46" s="0"/>
      <c r="AD46" s="121" t="s">
        <v>494</v>
      </c>
      <c r="AE46" s="121" t="s">
        <v>546</v>
      </c>
    </row>
    <row r="47" customFormat="false" ht="12.8" hidden="false" customHeight="false" outlineLevel="0" collapsed="false">
      <c r="R47" s="185" t="s">
        <v>533</v>
      </c>
      <c r="S47" s="224" t="n">
        <f aca="false">HEX2DEC(RIGHT(S46,2))</f>
        <v>182</v>
      </c>
      <c r="U47" s="0"/>
      <c r="V47" s="0"/>
      <c r="W47" s="0"/>
      <c r="X47" s="0"/>
      <c r="Y47" s="0"/>
      <c r="Z47" s="0"/>
      <c r="AA47" s="0"/>
      <c r="AB47" s="0"/>
    </row>
    <row r="48" customFormat="false" ht="12.8" hidden="false" customHeight="false" outlineLevel="0" collapsed="false">
      <c r="R48" s="209" t="s">
        <v>536</v>
      </c>
      <c r="S48" s="222" t="n">
        <f aca="false">HEX2DEC(LEFT(S46,2))</f>
        <v>3</v>
      </c>
      <c r="U48" s="0"/>
      <c r="V48" s="0"/>
      <c r="W48" s="0"/>
      <c r="X48" s="0"/>
      <c r="Y48" s="0"/>
      <c r="Z48" s="0"/>
      <c r="AA48" s="0"/>
      <c r="AB48" s="0"/>
    </row>
    <row r="49" customFormat="false" ht="12.8" hidden="false" customHeight="false" outlineLevel="0" collapsed="false">
      <c r="U49" s="0"/>
      <c r="V49" s="0"/>
      <c r="W49" s="0"/>
      <c r="X49" s="0"/>
      <c r="Y49" s="0"/>
      <c r="Z49" s="0"/>
      <c r="AA49" s="0"/>
      <c r="AB49" s="0"/>
    </row>
    <row r="50" customFormat="false" ht="12.8" hidden="false" customHeight="false" outlineLevel="0" collapsed="false">
      <c r="U50" s="0"/>
      <c r="V50" s="0"/>
      <c r="W50" s="0"/>
      <c r="X50" s="0"/>
      <c r="Y50" s="0"/>
      <c r="Z50" s="0"/>
      <c r="AA50" s="0"/>
      <c r="AB50" s="0"/>
    </row>
    <row r="51" customFormat="false" ht="12.8" hidden="false" customHeight="false" outlineLevel="0" collapsed="false">
      <c r="U51" s="0"/>
      <c r="V51" s="0"/>
      <c r="W51" s="0"/>
      <c r="X51" s="0"/>
      <c r="Y51" s="0"/>
      <c r="Z51" s="0"/>
      <c r="AA51" s="0"/>
      <c r="AB51" s="0"/>
    </row>
    <row r="52" customFormat="false" ht="12.8" hidden="false" customHeight="false" outlineLevel="0" collapsed="false">
      <c r="U52" s="0"/>
      <c r="V52" s="0"/>
      <c r="W52" s="0"/>
      <c r="X52" s="0"/>
      <c r="Y52" s="0"/>
      <c r="Z52" s="0"/>
      <c r="AA52" s="0"/>
      <c r="AB52" s="0"/>
    </row>
    <row r="53" customFormat="false" ht="12.8" hidden="false" customHeight="false" outlineLevel="0" collapsed="false">
      <c r="U53" s="0"/>
      <c r="V53" s="0"/>
      <c r="W53" s="0"/>
      <c r="X53" s="0"/>
      <c r="Y53" s="0"/>
      <c r="Z53" s="0"/>
      <c r="AA53" s="0"/>
      <c r="AB53" s="0"/>
    </row>
    <row r="54" customFormat="false" ht="12.8" hidden="false" customHeight="false" outlineLevel="0" collapsed="false">
      <c r="U54" s="0"/>
      <c r="V54" s="0"/>
      <c r="W54" s="0"/>
      <c r="X54" s="0"/>
      <c r="Y54" s="0"/>
      <c r="Z54" s="0"/>
      <c r="AA54" s="0"/>
      <c r="AB54" s="0"/>
    </row>
    <row r="55" customFormat="false" ht="12.8" hidden="false" customHeight="false" outlineLevel="0" collapsed="false">
      <c r="U55" s="0"/>
      <c r="V55" s="0"/>
      <c r="W55" s="0"/>
      <c r="X55" s="0"/>
      <c r="Y55" s="0"/>
      <c r="Z55" s="0"/>
      <c r="AA55" s="0"/>
      <c r="AB55" s="0"/>
    </row>
  </sheetData>
  <mergeCells count="19">
    <mergeCell ref="A2:B2"/>
    <mergeCell ref="D2:M2"/>
    <mergeCell ref="O2:P2"/>
    <mergeCell ref="R2:S2"/>
    <mergeCell ref="U2:W2"/>
    <mergeCell ref="X2:AB2"/>
    <mergeCell ref="AG2:AP2"/>
    <mergeCell ref="F3:M3"/>
    <mergeCell ref="D10:H10"/>
    <mergeCell ref="R10:S10"/>
    <mergeCell ref="F11:H11"/>
    <mergeCell ref="O17:P17"/>
    <mergeCell ref="R17:S17"/>
    <mergeCell ref="D18:L18"/>
    <mergeCell ref="F19:L19"/>
    <mergeCell ref="O23:P23"/>
    <mergeCell ref="R23:S23"/>
    <mergeCell ref="A24:B24"/>
    <mergeCell ref="R38:S38"/>
  </mergeCells>
  <dataValidations count="1">
    <dataValidation allowBlank="true" operator="equal" showDropDown="false" showErrorMessage="true" showInputMessage="true" sqref="B13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E5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6" width="37.88"/>
    <col collapsed="false" customWidth="true" hidden="false" outlineLevel="0" max="2" min="2" style="86" width="18.59"/>
    <col collapsed="false" customWidth="true" hidden="false" outlineLevel="0" max="3" min="3" style="86" width="4.36"/>
    <col collapsed="false" customWidth="true" hidden="false" outlineLevel="0" max="4" min="4" style="86" width="20.28"/>
    <col collapsed="false" customWidth="true" hidden="false" outlineLevel="0" max="5" min="5" style="86" width="15.84"/>
    <col collapsed="false" customWidth="true" hidden="false" outlineLevel="0" max="7" min="6" style="86" width="14.45"/>
    <col collapsed="false" customWidth="true" hidden="false" outlineLevel="0" max="12" min="8" style="86" width="14.69"/>
    <col collapsed="false" customWidth="true" hidden="false" outlineLevel="0" max="13" min="13" style="86" width="14.45"/>
    <col collapsed="false" customWidth="true" hidden="false" outlineLevel="0" max="14" min="14" style="86" width="5.06"/>
    <col collapsed="false" customWidth="true" hidden="false" outlineLevel="0" max="15" min="15" style="86" width="36.04"/>
    <col collapsed="false" customWidth="true" hidden="false" outlineLevel="0" max="16" min="16" style="86" width="14.45"/>
    <col collapsed="false" customWidth="true" hidden="false" outlineLevel="0" max="17" min="17" style="86" width="5.06"/>
    <col collapsed="false" customWidth="true" hidden="false" outlineLevel="0" max="18" min="18" style="86" width="19.5"/>
    <col collapsed="false" customWidth="true" hidden="false" outlineLevel="0" max="19" min="19" style="86" width="14.45"/>
    <col collapsed="false" customWidth="true" hidden="false" outlineLevel="0" max="20" min="20" style="86" width="5.73"/>
    <col collapsed="false" customWidth="true" hidden="false" outlineLevel="0" max="21" min="21" style="86" width="4.39"/>
    <col collapsed="false" customWidth="true" hidden="false" outlineLevel="0" max="22" min="22" style="86" width="5.15"/>
    <col collapsed="false" customWidth="true" hidden="false" outlineLevel="0" max="23" min="23" style="86" width="8.9"/>
    <col collapsed="false" customWidth="true" hidden="false" outlineLevel="0" max="24" min="24" style="86" width="10.96"/>
    <col collapsed="false" customWidth="true" hidden="false" outlineLevel="0" max="25" min="25" style="86" width="9.09"/>
    <col collapsed="false" customWidth="true" hidden="false" outlineLevel="0" max="26" min="26" style="86" width="19.77"/>
    <col collapsed="false" customWidth="true" hidden="false" outlineLevel="0" max="27" min="27" style="86" width="18.85"/>
    <col collapsed="false" customWidth="true" hidden="false" outlineLevel="0" max="28" min="28" style="86" width="42.51"/>
    <col collapsed="false" customWidth="true" hidden="false" outlineLevel="0" max="30" min="29" style="86" width="14.45"/>
    <col collapsed="false" customWidth="true" hidden="false" outlineLevel="0" max="31" min="31" style="86" width="53.21"/>
    <col collapsed="false" customWidth="true" hidden="false" outlineLevel="0" max="58" min="32" style="86" width="14.45"/>
  </cols>
  <sheetData>
    <row r="2" customFormat="false" ht="15.65" hidden="false" customHeight="true" outlineLevel="0" collapsed="false">
      <c r="A2" s="89" t="s">
        <v>250</v>
      </c>
      <c r="B2" s="89"/>
      <c r="D2" s="90" t="s">
        <v>251</v>
      </c>
      <c r="E2" s="90"/>
      <c r="F2" s="90"/>
      <c r="G2" s="90"/>
      <c r="H2" s="90"/>
      <c r="I2" s="90"/>
      <c r="J2" s="90"/>
      <c r="K2" s="90"/>
      <c r="L2" s="90"/>
      <c r="M2" s="90"/>
      <c r="O2" s="91" t="s">
        <v>252</v>
      </c>
      <c r="P2" s="91"/>
      <c r="R2" s="92" t="s">
        <v>253</v>
      </c>
      <c r="S2" s="92"/>
      <c r="U2" s="93" t="s">
        <v>254</v>
      </c>
      <c r="V2" s="93"/>
      <c r="W2" s="93"/>
      <c r="X2" s="93" t="s">
        <v>255</v>
      </c>
      <c r="Y2" s="93"/>
      <c r="Z2" s="93"/>
      <c r="AA2" s="93"/>
      <c r="AB2" s="93"/>
    </row>
    <row r="3" customFormat="false" ht="12.8" hidden="false" customHeight="false" outlineLevel="0" collapsed="false">
      <c r="A3" s="94" t="s">
        <v>257</v>
      </c>
      <c r="B3" s="95" t="n">
        <v>16000000</v>
      </c>
      <c r="C3" s="96"/>
      <c r="D3" s="97" t="s">
        <v>258</v>
      </c>
      <c r="E3" s="98" t="n">
        <v>32000000</v>
      </c>
      <c r="F3" s="99"/>
      <c r="G3" s="99"/>
      <c r="H3" s="99"/>
      <c r="I3" s="99"/>
      <c r="J3" s="99"/>
      <c r="K3" s="99"/>
      <c r="L3" s="99"/>
      <c r="M3" s="99"/>
      <c r="O3" s="100" t="s">
        <v>259</v>
      </c>
      <c r="P3" s="101" t="n">
        <v>1E-006</v>
      </c>
      <c r="R3" s="100" t="s">
        <v>260</v>
      </c>
      <c r="S3" s="102" t="n">
        <f aca="false">1.024*4</f>
        <v>4.096</v>
      </c>
      <c r="U3" s="103" t="s">
        <v>261</v>
      </c>
      <c r="V3" s="104" t="s">
        <v>262</v>
      </c>
      <c r="W3" s="105" t="s">
        <v>263</v>
      </c>
      <c r="X3" s="103" t="s">
        <v>264</v>
      </c>
      <c r="Y3" s="104" t="s">
        <v>265</v>
      </c>
      <c r="Z3" s="104" t="s">
        <v>266</v>
      </c>
      <c r="AA3" s="104" t="s">
        <v>267</v>
      </c>
      <c r="AB3" s="105" t="s">
        <v>6</v>
      </c>
      <c r="AD3" s="106" t="s">
        <v>268</v>
      </c>
      <c r="AE3" s="106" t="s">
        <v>269</v>
      </c>
    </row>
    <row r="4" customFormat="false" ht="12.8" hidden="false" customHeight="false" outlineLevel="0" collapsed="false">
      <c r="A4" s="94" t="s">
        <v>278</v>
      </c>
      <c r="B4" s="109" t="n">
        <f aca="false">1/B3</f>
        <v>6.25E-008</v>
      </c>
      <c r="C4" s="110"/>
      <c r="D4" s="111" t="s">
        <v>279</v>
      </c>
      <c r="E4" s="112" t="n">
        <v>1</v>
      </c>
      <c r="F4" s="112" t="n">
        <v>2</v>
      </c>
      <c r="G4" s="112" t="n">
        <v>4</v>
      </c>
      <c r="H4" s="112" t="n">
        <v>8</v>
      </c>
      <c r="I4" s="112" t="n">
        <v>16</v>
      </c>
      <c r="J4" s="112" t="n">
        <v>32</v>
      </c>
      <c r="K4" s="112" t="n">
        <v>64</v>
      </c>
      <c r="L4" s="112" t="n">
        <v>128</v>
      </c>
      <c r="M4" s="113" t="n">
        <v>256</v>
      </c>
      <c r="O4" s="100" t="s">
        <v>280</v>
      </c>
      <c r="P4" s="114" t="n">
        <v>12</v>
      </c>
      <c r="R4" s="100" t="s">
        <v>547</v>
      </c>
      <c r="S4" s="226" t="n">
        <f aca="false">S3/1024</f>
        <v>0.004</v>
      </c>
      <c r="U4" s="116" t="n">
        <v>1</v>
      </c>
      <c r="V4" s="117" t="s">
        <v>282</v>
      </c>
      <c r="W4" s="118" t="s">
        <v>283</v>
      </c>
      <c r="X4" s="119" t="n">
        <v>1</v>
      </c>
      <c r="Y4" s="117" t="n">
        <v>0</v>
      </c>
      <c r="Z4" s="227" t="s">
        <v>284</v>
      </c>
      <c r="AA4" s="227" t="s">
        <v>284</v>
      </c>
      <c r="AB4" s="120" t="s">
        <v>548</v>
      </c>
      <c r="AD4" s="228" t="s">
        <v>521</v>
      </c>
      <c r="AE4" s="228"/>
    </row>
    <row r="5" customFormat="false" ht="12.8" hidden="false" customHeight="false" outlineLevel="0" collapsed="false">
      <c r="A5" s="94" t="s">
        <v>290</v>
      </c>
      <c r="B5" s="123" t="n">
        <f aca="false">B3/4</f>
        <v>4000000</v>
      </c>
      <c r="D5" s="97" t="s">
        <v>291</v>
      </c>
      <c r="E5" s="124" t="n">
        <f aca="false">($E$3/4)/E4</f>
        <v>8000000</v>
      </c>
      <c r="F5" s="124" t="n">
        <f aca="false">($E$3/4)/F4</f>
        <v>4000000</v>
      </c>
      <c r="G5" s="124" t="n">
        <f aca="false">($E$3/4)/G4</f>
        <v>2000000</v>
      </c>
      <c r="H5" s="124" t="n">
        <f aca="false">($E$3/4)/H4</f>
        <v>1000000</v>
      </c>
      <c r="I5" s="124" t="n">
        <f aca="false">($E$3/4)/I4</f>
        <v>500000</v>
      </c>
      <c r="J5" s="124" t="n">
        <f aca="false">($E$3/4)/J4</f>
        <v>250000</v>
      </c>
      <c r="K5" s="124" t="n">
        <f aca="false">($E$3/4)/K4</f>
        <v>125000</v>
      </c>
      <c r="L5" s="124" t="n">
        <f aca="false">($E$3/4)/L4</f>
        <v>62500</v>
      </c>
      <c r="M5" s="125" t="n">
        <f aca="false">($E$3/4)/M4</f>
        <v>31250</v>
      </c>
      <c r="O5" s="126" t="s">
        <v>292</v>
      </c>
      <c r="P5" s="127" t="n">
        <f aca="false">P3*P4</f>
        <v>1.2E-005</v>
      </c>
      <c r="R5" s="100" t="s">
        <v>293</v>
      </c>
      <c r="S5" s="128" t="n">
        <v>0.283</v>
      </c>
      <c r="U5" s="116" t="n">
        <v>2</v>
      </c>
      <c r="V5" s="117" t="s">
        <v>294</v>
      </c>
      <c r="W5" s="118" t="s">
        <v>295</v>
      </c>
      <c r="X5" s="119" t="n">
        <v>0</v>
      </c>
      <c r="Y5" s="117" t="n">
        <v>0</v>
      </c>
      <c r="Z5" s="227" t="s">
        <v>534</v>
      </c>
      <c r="AA5" s="229" t="s">
        <v>549</v>
      </c>
      <c r="AB5" s="120"/>
      <c r="AD5" s="228" t="s">
        <v>534</v>
      </c>
      <c r="AE5" s="228"/>
    </row>
    <row r="6" customFormat="false" ht="12.8" hidden="false" customHeight="false" outlineLevel="0" collapsed="false">
      <c r="A6" s="94" t="s">
        <v>302</v>
      </c>
      <c r="B6" s="109" t="n">
        <f aca="false">1/B5</f>
        <v>2.5E-007</v>
      </c>
      <c r="C6" s="110"/>
      <c r="D6" s="97" t="s">
        <v>303</v>
      </c>
      <c r="E6" s="130" t="n">
        <f aca="false">1/E5</f>
        <v>1.25E-007</v>
      </c>
      <c r="F6" s="130" t="n">
        <f aca="false">1/F5</f>
        <v>2.5E-007</v>
      </c>
      <c r="G6" s="130" t="n">
        <f aca="false">1/G5</f>
        <v>5E-007</v>
      </c>
      <c r="H6" s="130" t="n">
        <f aca="false">1/H5</f>
        <v>1E-006</v>
      </c>
      <c r="I6" s="130" t="n">
        <f aca="false">1/I5</f>
        <v>2E-006</v>
      </c>
      <c r="J6" s="130" t="n">
        <f aca="false">1/J5</f>
        <v>4E-006</v>
      </c>
      <c r="K6" s="130" t="n">
        <f aca="false">1/K5</f>
        <v>8E-006</v>
      </c>
      <c r="L6" s="130" t="n">
        <f aca="false">1/L5</f>
        <v>1.6E-005</v>
      </c>
      <c r="M6" s="131" t="n">
        <f aca="false">1/M5</f>
        <v>3.2E-005</v>
      </c>
      <c r="O6" s="100"/>
      <c r="P6" s="132"/>
      <c r="R6" s="133" t="s">
        <v>304</v>
      </c>
      <c r="S6" s="134" t="str">
        <f aca="false">"0x"&amp;DEC2HEX(S5/S4,4)&amp;" / "&amp;TEXT(S5/S4,"0")</f>
        <v>0x0046 / 71</v>
      </c>
      <c r="U6" s="116" t="n">
        <v>3</v>
      </c>
      <c r="V6" s="117" t="s">
        <v>305</v>
      </c>
      <c r="W6" s="118" t="s">
        <v>306</v>
      </c>
      <c r="X6" s="119" t="n">
        <v>0</v>
      </c>
      <c r="Y6" s="117" t="n">
        <v>0</v>
      </c>
      <c r="Z6" s="227" t="s">
        <v>534</v>
      </c>
      <c r="AA6" s="229" t="s">
        <v>550</v>
      </c>
      <c r="AB6" s="120"/>
      <c r="AD6" s="228" t="s">
        <v>544</v>
      </c>
      <c r="AE6" s="228"/>
    </row>
    <row r="7" customFormat="false" ht="12.8" hidden="false" customHeight="false" outlineLevel="0" collapsed="false">
      <c r="A7" s="94" t="s">
        <v>310</v>
      </c>
      <c r="B7" s="135" t="n">
        <f aca="false">B15/B6</f>
        <v>20</v>
      </c>
      <c r="D7" s="111" t="s">
        <v>311</v>
      </c>
      <c r="E7" s="130" t="n">
        <f aca="false">E6*256</f>
        <v>3.2E-005</v>
      </c>
      <c r="F7" s="130" t="n">
        <f aca="false">F6*256</f>
        <v>6.4E-005</v>
      </c>
      <c r="G7" s="130" t="n">
        <f aca="false">G6*256</f>
        <v>0.000128</v>
      </c>
      <c r="H7" s="130" t="n">
        <f aca="false">H6*256</f>
        <v>0.000256</v>
      </c>
      <c r="I7" s="130" t="n">
        <f aca="false">I6*256</f>
        <v>0.000512</v>
      </c>
      <c r="J7" s="130" t="n">
        <f aca="false">J6*256</f>
        <v>0.001024</v>
      </c>
      <c r="K7" s="130" t="n">
        <f aca="false">K6*256</f>
        <v>0.002048</v>
      </c>
      <c r="L7" s="130" t="n">
        <f aca="false">L6*256</f>
        <v>0.004096</v>
      </c>
      <c r="M7" s="130" t="n">
        <f aca="false">M6*256</f>
        <v>0.008192</v>
      </c>
      <c r="O7" s="100" t="s">
        <v>312</v>
      </c>
      <c r="P7" s="136" t="n">
        <v>2E-006</v>
      </c>
      <c r="R7" s="137"/>
      <c r="U7" s="116" t="n">
        <v>4</v>
      </c>
      <c r="V7" s="117" t="s">
        <v>313</v>
      </c>
      <c r="W7" s="118" t="s">
        <v>314</v>
      </c>
      <c r="X7" s="119" t="n">
        <v>0</v>
      </c>
      <c r="Y7" s="117" t="n">
        <v>0</v>
      </c>
      <c r="Z7" s="227" t="s">
        <v>534</v>
      </c>
      <c r="AA7" s="229" t="s">
        <v>551</v>
      </c>
      <c r="AB7" s="120"/>
      <c r="AD7" s="228" t="s">
        <v>296</v>
      </c>
      <c r="AE7" s="228"/>
    </row>
    <row r="8" customFormat="false" ht="12.8" hidden="false" customHeight="false" outlineLevel="0" collapsed="false">
      <c r="A8" s="94" t="s">
        <v>552</v>
      </c>
      <c r="B8" s="138" t="s">
        <v>553</v>
      </c>
      <c r="C8" s="139"/>
      <c r="D8" s="140" t="s">
        <v>322</v>
      </c>
      <c r="E8" s="141" t="n">
        <f aca="false">1/E7</f>
        <v>31250</v>
      </c>
      <c r="F8" s="141" t="n">
        <f aca="false">1/F7</f>
        <v>15625</v>
      </c>
      <c r="G8" s="141" t="n">
        <f aca="false">1/G7</f>
        <v>7812.5</v>
      </c>
      <c r="H8" s="141" t="n">
        <f aca="false">1/H7</f>
        <v>3906.25</v>
      </c>
      <c r="I8" s="141" t="n">
        <f aca="false">1/I7</f>
        <v>1953.125</v>
      </c>
      <c r="J8" s="141" t="n">
        <f aca="false">1/J7</f>
        <v>976.5625</v>
      </c>
      <c r="K8" s="141" t="n">
        <f aca="false">1/K7</f>
        <v>488.28125</v>
      </c>
      <c r="L8" s="141" t="n">
        <f aca="false">1/L7</f>
        <v>244.140625</v>
      </c>
      <c r="M8" s="142" t="n">
        <f aca="false">1/M7</f>
        <v>122.0703125</v>
      </c>
      <c r="O8" s="100" t="s">
        <v>323</v>
      </c>
      <c r="P8" s="143" t="n">
        <v>10000</v>
      </c>
      <c r="R8" s="137"/>
      <c r="U8" s="116" t="n">
        <v>5</v>
      </c>
      <c r="V8" s="117" t="s">
        <v>324</v>
      </c>
      <c r="W8" s="118" t="s">
        <v>325</v>
      </c>
      <c r="X8" s="119" t="n">
        <v>0</v>
      </c>
      <c r="Y8" s="117" t="n">
        <v>0</v>
      </c>
      <c r="Z8" s="227" t="s">
        <v>534</v>
      </c>
      <c r="AA8" s="229" t="s">
        <v>554</v>
      </c>
      <c r="AB8" s="120"/>
      <c r="AD8" s="228" t="s">
        <v>494</v>
      </c>
      <c r="AE8" s="228"/>
    </row>
    <row r="9" customFormat="false" ht="12.8" hidden="false" customHeight="false" outlineLevel="0" collapsed="false">
      <c r="A9" s="94" t="s">
        <v>555</v>
      </c>
      <c r="B9" s="144" t="n">
        <f aca="false">HEX2DEC(B8)</f>
        <v>79</v>
      </c>
      <c r="C9" s="139"/>
      <c r="O9" s="100" t="s">
        <v>332</v>
      </c>
      <c r="P9" s="145" t="n">
        <v>50</v>
      </c>
      <c r="R9" s="137"/>
      <c r="U9" s="116" t="n">
        <v>6</v>
      </c>
      <c r="V9" s="117" t="s">
        <v>333</v>
      </c>
      <c r="W9" s="118" t="s">
        <v>283</v>
      </c>
      <c r="X9" s="119" t="n">
        <v>1</v>
      </c>
      <c r="Y9" s="117" t="n">
        <v>0</v>
      </c>
      <c r="Z9" s="227" t="s">
        <v>544</v>
      </c>
      <c r="AA9" s="229" t="s">
        <v>556</v>
      </c>
      <c r="AB9" s="120" t="s">
        <v>557</v>
      </c>
      <c r="AD9" s="228" t="s">
        <v>405</v>
      </c>
      <c r="AE9" s="228"/>
    </row>
    <row r="10" customFormat="false" ht="15.65" hidden="false" customHeight="true" outlineLevel="0" collapsed="false">
      <c r="A10" s="94" t="s">
        <v>558</v>
      </c>
      <c r="B10" s="138" t="s">
        <v>559</v>
      </c>
      <c r="C10" s="139"/>
      <c r="D10" s="90" t="s">
        <v>341</v>
      </c>
      <c r="E10" s="90"/>
      <c r="F10" s="90"/>
      <c r="G10" s="90"/>
      <c r="H10" s="90"/>
      <c r="O10" s="100" t="s">
        <v>342</v>
      </c>
      <c r="P10" s="147" t="n">
        <f aca="false">-1*(0.00000000001*(8000+P8)*LN(1/2047))</f>
        <v>1.37234350541903E-006</v>
      </c>
      <c r="R10" s="148" t="s">
        <v>343</v>
      </c>
      <c r="S10" s="148"/>
      <c r="U10" s="116" t="n">
        <v>7</v>
      </c>
      <c r="V10" s="117" t="s">
        <v>344</v>
      </c>
      <c r="W10" s="118" t="s">
        <v>345</v>
      </c>
      <c r="X10" s="119" t="n">
        <v>0</v>
      </c>
      <c r="Y10" s="117" t="n">
        <v>0</v>
      </c>
      <c r="Z10" s="227" t="s">
        <v>534</v>
      </c>
      <c r="AA10" s="229" t="s">
        <v>560</v>
      </c>
      <c r="AB10" s="120"/>
      <c r="AD10" s="228"/>
      <c r="AE10" s="228"/>
    </row>
    <row r="11" customFormat="false" ht="12.8" hidden="false" customHeight="false" outlineLevel="0" collapsed="false">
      <c r="A11" s="94" t="s">
        <v>561</v>
      </c>
      <c r="B11" s="144" t="n">
        <f aca="false">HEX2DEC(B10)</f>
        <v>7</v>
      </c>
      <c r="D11" s="97" t="s">
        <v>258</v>
      </c>
      <c r="E11" s="98" t="n">
        <v>16000000</v>
      </c>
      <c r="F11" s="113"/>
      <c r="G11" s="113"/>
      <c r="H11" s="113"/>
      <c r="O11" s="100" t="s">
        <v>351</v>
      </c>
      <c r="P11" s="136" t="n">
        <f aca="false">(P9-25)*0.00000005</f>
        <v>1.25E-006</v>
      </c>
      <c r="R11" s="97" t="s">
        <v>352</v>
      </c>
      <c r="S11" s="150" t="n">
        <v>5</v>
      </c>
      <c r="U11" s="116" t="n">
        <v>8</v>
      </c>
      <c r="V11" s="117" t="s">
        <v>353</v>
      </c>
      <c r="W11" s="118" t="s">
        <v>283</v>
      </c>
      <c r="X11" s="119" t="s">
        <v>283</v>
      </c>
      <c r="Y11" s="117" t="s">
        <v>283</v>
      </c>
      <c r="Z11" s="227" t="s">
        <v>353</v>
      </c>
      <c r="AA11" s="227" t="s">
        <v>353</v>
      </c>
      <c r="AB11" s="120" t="s">
        <v>562</v>
      </c>
      <c r="AD11" s="228"/>
      <c r="AE11" s="228"/>
    </row>
    <row r="12" customFormat="false" ht="14.9" hidden="false" customHeight="false" outlineLevel="0" collapsed="false">
      <c r="A12" s="94" t="s">
        <v>563</v>
      </c>
      <c r="B12" s="138" t="s">
        <v>357</v>
      </c>
      <c r="D12" s="111" t="s">
        <v>279</v>
      </c>
      <c r="E12" s="112" t="n">
        <v>1</v>
      </c>
      <c r="F12" s="112" t="n">
        <v>2</v>
      </c>
      <c r="G12" s="112" t="n">
        <v>4</v>
      </c>
      <c r="H12" s="113" t="n">
        <v>8</v>
      </c>
      <c r="O12" s="126" t="s">
        <v>358</v>
      </c>
      <c r="P12" s="151" t="n">
        <f aca="false">P7+P10+P11</f>
        <v>4.62234350541903E-006</v>
      </c>
      <c r="R12" s="97" t="s">
        <v>359</v>
      </c>
      <c r="S12" s="152" t="n">
        <v>8</v>
      </c>
      <c r="U12" s="116" t="n">
        <v>9</v>
      </c>
      <c r="V12" s="117" t="s">
        <v>360</v>
      </c>
      <c r="W12" s="118" t="s">
        <v>283</v>
      </c>
      <c r="X12" s="119" t="n">
        <v>0</v>
      </c>
      <c r="Y12" s="117" t="n">
        <v>0</v>
      </c>
      <c r="Z12" s="227" t="s">
        <v>534</v>
      </c>
      <c r="AA12" s="229" t="s">
        <v>564</v>
      </c>
      <c r="AB12" s="120"/>
      <c r="AD12" s="228"/>
      <c r="AE12" s="228"/>
    </row>
    <row r="13" customFormat="false" ht="14.9" hidden="false" customHeight="false" outlineLevel="0" collapsed="false">
      <c r="A13" s="94" t="s">
        <v>365</v>
      </c>
      <c r="B13" s="154" t="n">
        <v>1</v>
      </c>
      <c r="D13" s="97" t="s">
        <v>291</v>
      </c>
      <c r="E13" s="124" t="n">
        <f aca="false">$E$11/E12</f>
        <v>16000000</v>
      </c>
      <c r="F13" s="124" t="n">
        <f aca="false">$E$11/F12</f>
        <v>8000000</v>
      </c>
      <c r="G13" s="124" t="n">
        <f aca="false">$E$11/G12</f>
        <v>4000000</v>
      </c>
      <c r="H13" s="124" t="n">
        <f aca="false">$E$11/H12</f>
        <v>2000000</v>
      </c>
      <c r="I13" s="155"/>
      <c r="O13" s="100"/>
      <c r="P13" s="132"/>
      <c r="R13" s="97" t="s">
        <v>366</v>
      </c>
      <c r="S13" s="156" t="str">
        <f aca="false">"0x"&amp;DEC2HEX(S12,2)</f>
        <v>0x08</v>
      </c>
      <c r="U13" s="116" t="n">
        <v>10</v>
      </c>
      <c r="V13" s="117" t="s">
        <v>367</v>
      </c>
      <c r="W13" s="118" t="s">
        <v>283</v>
      </c>
      <c r="X13" s="119" t="n">
        <v>1</v>
      </c>
      <c r="Y13" s="117" t="n">
        <v>0</v>
      </c>
      <c r="Z13" s="227" t="s">
        <v>544</v>
      </c>
      <c r="AA13" s="229" t="s">
        <v>565</v>
      </c>
      <c r="AB13" s="120" t="s">
        <v>566</v>
      </c>
      <c r="AD13" s="228"/>
      <c r="AE13" s="228"/>
    </row>
    <row r="14" customFormat="false" ht="12.8" hidden="false" customHeight="false" outlineLevel="0" collapsed="false">
      <c r="A14" s="94" t="s">
        <v>371</v>
      </c>
      <c r="B14" s="154" t="n">
        <v>0</v>
      </c>
      <c r="D14" s="97" t="s">
        <v>303</v>
      </c>
      <c r="E14" s="130" t="n">
        <f aca="false">1/E13</f>
        <v>6.25E-008</v>
      </c>
      <c r="F14" s="130" t="n">
        <f aca="false">1/F13</f>
        <v>1.25E-007</v>
      </c>
      <c r="G14" s="130" t="n">
        <f aca="false">1/G13</f>
        <v>2.5E-007</v>
      </c>
      <c r="H14" s="131" t="n">
        <f aca="false">1/H13</f>
        <v>5E-007</v>
      </c>
      <c r="I14" s="155"/>
      <c r="J14" s="139"/>
      <c r="K14" s="139"/>
      <c r="L14" s="155"/>
      <c r="O14" s="157" t="s">
        <v>372</v>
      </c>
      <c r="P14" s="158" t="n">
        <f aca="false">P5+P12</f>
        <v>1.6622343505419E-005</v>
      </c>
      <c r="R14" s="159" t="s">
        <v>373</v>
      </c>
      <c r="S14" s="160" t="n">
        <f aca="false">S11*S12/32</f>
        <v>1.25</v>
      </c>
      <c r="U14" s="116" t="n">
        <v>11</v>
      </c>
      <c r="V14" s="117" t="s">
        <v>374</v>
      </c>
      <c r="W14" s="118" t="s">
        <v>283</v>
      </c>
      <c r="X14" s="119" t="n">
        <v>0</v>
      </c>
      <c r="Y14" s="117" t="n">
        <v>0</v>
      </c>
      <c r="Z14" s="117" t="s">
        <v>374</v>
      </c>
      <c r="AA14" s="229" t="s">
        <v>567</v>
      </c>
      <c r="AB14" s="120" t="s">
        <v>568</v>
      </c>
      <c r="AD14" s="228"/>
      <c r="AE14" s="228"/>
    </row>
    <row r="15" customFormat="false" ht="12.8" hidden="false" customHeight="false" outlineLevel="0" collapsed="false">
      <c r="A15" s="94" t="s">
        <v>378</v>
      </c>
      <c r="B15" s="161" t="n">
        <f aca="false">((HEX2DEC(B8)+1)*B13)/B3</f>
        <v>5E-006</v>
      </c>
      <c r="C15" s="139"/>
      <c r="D15" s="111" t="s">
        <v>311</v>
      </c>
      <c r="E15" s="130" t="n">
        <f aca="false">E14*256</f>
        <v>1.6E-005</v>
      </c>
      <c r="F15" s="130" t="n">
        <f aca="false">F14*65536</f>
        <v>0.008192</v>
      </c>
      <c r="G15" s="130" t="n">
        <f aca="false">G14*65536</f>
        <v>0.016384</v>
      </c>
      <c r="H15" s="130" t="n">
        <f aca="false">H14*65536</f>
        <v>0.032768</v>
      </c>
      <c r="U15" s="116" t="n">
        <v>12</v>
      </c>
      <c r="V15" s="117" t="s">
        <v>379</v>
      </c>
      <c r="W15" s="118" t="s">
        <v>283</v>
      </c>
      <c r="X15" s="119" t="n">
        <v>0</v>
      </c>
      <c r="Y15" s="117" t="n">
        <v>0</v>
      </c>
      <c r="Z15" s="117" t="s">
        <v>379</v>
      </c>
      <c r="AA15" s="229" t="s">
        <v>569</v>
      </c>
      <c r="AB15" s="120" t="s">
        <v>570</v>
      </c>
      <c r="AD15" s="228"/>
      <c r="AE15" s="228"/>
    </row>
    <row r="16" customFormat="false" ht="12.8" hidden="false" customHeight="false" outlineLevel="0" collapsed="false">
      <c r="A16" s="94" t="s">
        <v>385</v>
      </c>
      <c r="B16" s="162" t="n">
        <f aca="false">1/B15</f>
        <v>200000</v>
      </c>
      <c r="D16" s="140" t="s">
        <v>322</v>
      </c>
      <c r="E16" s="163" t="n">
        <f aca="false">1/E15</f>
        <v>62500</v>
      </c>
      <c r="F16" s="163" t="n">
        <f aca="false">1/F15</f>
        <v>122.0703125</v>
      </c>
      <c r="G16" s="163" t="n">
        <f aca="false">1/G15</f>
        <v>61.03515625</v>
      </c>
      <c r="H16" s="164" t="n">
        <f aca="false">1/H15</f>
        <v>30.517578125</v>
      </c>
      <c r="U16" s="116" t="n">
        <v>13</v>
      </c>
      <c r="V16" s="117" t="s">
        <v>386</v>
      </c>
      <c r="W16" s="118" t="s">
        <v>387</v>
      </c>
      <c r="X16" s="119" t="n">
        <v>1</v>
      </c>
      <c r="Y16" s="117" t="n">
        <v>1</v>
      </c>
      <c r="Z16" s="227" t="s">
        <v>296</v>
      </c>
      <c r="AA16" s="229" t="s">
        <v>571</v>
      </c>
      <c r="AB16" s="120"/>
      <c r="AD16" s="228"/>
      <c r="AE16" s="228"/>
    </row>
    <row r="17" customFormat="false" ht="12.8" hidden="false" customHeight="false" outlineLevel="0" collapsed="false">
      <c r="A17" s="94" t="s">
        <v>390</v>
      </c>
      <c r="B17" s="165" t="n">
        <f aca="false">(HEX2DEC(B10)-HEX2DEC(B12))/(HEX2DEC(B8)+1)</f>
        <v>0.0875</v>
      </c>
      <c r="C17" s="166"/>
      <c r="E17" s="167"/>
      <c r="O17" s="230"/>
      <c r="P17" s="230"/>
      <c r="R17" s="148" t="s">
        <v>392</v>
      </c>
      <c r="S17" s="148"/>
      <c r="U17" s="116" t="n">
        <v>14</v>
      </c>
      <c r="V17" s="117" t="s">
        <v>393</v>
      </c>
      <c r="W17" s="118" t="s">
        <v>394</v>
      </c>
      <c r="X17" s="119" t="n">
        <v>1</v>
      </c>
      <c r="Y17" s="117" t="n">
        <v>1</v>
      </c>
      <c r="Z17" s="227" t="s">
        <v>296</v>
      </c>
      <c r="AA17" s="229" t="s">
        <v>572</v>
      </c>
      <c r="AB17" s="120"/>
      <c r="AD17" s="228"/>
      <c r="AE17" s="228"/>
    </row>
    <row r="18" customFormat="false" ht="12.8" hidden="false" customHeight="true" outlineLevel="0" collapsed="false">
      <c r="A18" s="94" t="s">
        <v>400</v>
      </c>
      <c r="B18" s="168" t="n">
        <v>0.1</v>
      </c>
      <c r="D18" s="90" t="s">
        <v>573</v>
      </c>
      <c r="E18" s="90"/>
      <c r="F18" s="90"/>
      <c r="G18" s="90"/>
      <c r="H18" s="90"/>
      <c r="I18" s="90"/>
      <c r="J18" s="90"/>
      <c r="K18" s="90"/>
      <c r="L18" s="90"/>
      <c r="O18" s="231"/>
      <c r="P18" s="232"/>
      <c r="R18" s="97" t="s">
        <v>352</v>
      </c>
      <c r="S18" s="150" t="n">
        <f aca="false">1.024*4</f>
        <v>4.096</v>
      </c>
      <c r="U18" s="116" t="n">
        <v>15</v>
      </c>
      <c r="V18" s="117" t="s">
        <v>403</v>
      </c>
      <c r="W18" s="118" t="s">
        <v>404</v>
      </c>
      <c r="X18" s="119" t="n">
        <v>0</v>
      </c>
      <c r="Y18" s="117" t="n">
        <v>0</v>
      </c>
      <c r="Z18" s="117" t="s">
        <v>403</v>
      </c>
      <c r="AA18" s="229" t="s">
        <v>574</v>
      </c>
      <c r="AB18" s="120" t="s">
        <v>575</v>
      </c>
      <c r="AD18" s="228"/>
      <c r="AE18" s="228"/>
    </row>
    <row r="19" customFormat="false" ht="14.9" hidden="false" customHeight="false" outlineLevel="0" collapsed="false">
      <c r="A19" s="94" t="s">
        <v>576</v>
      </c>
      <c r="B19" s="171" t="str">
        <f aca="false">DEC2HEX(HEX2DEC(B12)+(B18*HEX2DEC(B8)),4)</f>
        <v>0007</v>
      </c>
      <c r="D19" s="97" t="s">
        <v>258</v>
      </c>
      <c r="E19" s="98" t="n">
        <v>16000000</v>
      </c>
      <c r="F19" s="113"/>
      <c r="G19" s="113"/>
      <c r="H19" s="113"/>
      <c r="I19" s="113"/>
      <c r="J19" s="113"/>
      <c r="K19" s="113"/>
      <c r="L19" s="113"/>
      <c r="O19" s="231"/>
      <c r="P19" s="232"/>
      <c r="R19" s="97" t="s">
        <v>411</v>
      </c>
      <c r="S19" s="152" t="n">
        <v>395</v>
      </c>
      <c r="U19" s="116" t="n">
        <v>16</v>
      </c>
      <c r="V19" s="117" t="s">
        <v>412</v>
      </c>
      <c r="W19" s="118" t="s">
        <v>413</v>
      </c>
      <c r="X19" s="119" t="n">
        <v>0</v>
      </c>
      <c r="Y19" s="117" t="n">
        <v>0</v>
      </c>
      <c r="Z19" s="117" t="s">
        <v>412</v>
      </c>
      <c r="AA19" s="229" t="s">
        <v>577</v>
      </c>
      <c r="AB19" s="120" t="s">
        <v>578</v>
      </c>
      <c r="AD19" s="228"/>
      <c r="AE19" s="228"/>
    </row>
    <row r="20" customFormat="false" ht="14.9" hidden="false" customHeight="false" outlineLevel="0" collapsed="false">
      <c r="A20" s="94" t="s">
        <v>416</v>
      </c>
      <c r="B20" s="173" t="n">
        <v>200000</v>
      </c>
      <c r="D20" s="111" t="s">
        <v>279</v>
      </c>
      <c r="E20" s="112" t="n">
        <v>1</v>
      </c>
      <c r="F20" s="112" t="n">
        <v>2</v>
      </c>
      <c r="G20" s="112" t="n">
        <v>4</v>
      </c>
      <c r="H20" s="112" t="n">
        <v>8</v>
      </c>
      <c r="I20" s="112" t="n">
        <v>16</v>
      </c>
      <c r="J20" s="112" t="n">
        <v>32</v>
      </c>
      <c r="K20" s="112" t="n">
        <v>64</v>
      </c>
      <c r="L20" s="113" t="n">
        <v>128</v>
      </c>
      <c r="O20" s="231"/>
      <c r="P20" s="232"/>
      <c r="R20" s="97" t="s">
        <v>366</v>
      </c>
      <c r="S20" s="156" t="str">
        <f aca="false">"0x"&amp;DEC2HEX(S19,4)</f>
        <v>0x018B</v>
      </c>
      <c r="U20" s="116" t="n">
        <v>17</v>
      </c>
      <c r="V20" s="117" t="s">
        <v>418</v>
      </c>
      <c r="W20" s="118" t="s">
        <v>419</v>
      </c>
      <c r="X20" s="119" t="n">
        <v>0</v>
      </c>
      <c r="Y20" s="117" t="n">
        <v>0</v>
      </c>
      <c r="Z20" s="227" t="s">
        <v>534</v>
      </c>
      <c r="AA20" s="229" t="s">
        <v>579</v>
      </c>
      <c r="AB20" s="120"/>
      <c r="AD20" s="228"/>
      <c r="AE20" s="228"/>
    </row>
    <row r="21" customFormat="false" ht="12.8" hidden="false" customHeight="false" outlineLevel="0" collapsed="false">
      <c r="A21" s="94" t="s">
        <v>423</v>
      </c>
      <c r="B21" s="109" t="n">
        <f aca="false">1/B20</f>
        <v>5E-006</v>
      </c>
      <c r="D21" s="97" t="s">
        <v>291</v>
      </c>
      <c r="E21" s="124" t="n">
        <f aca="false">$E$19/E20</f>
        <v>16000000</v>
      </c>
      <c r="F21" s="124" t="n">
        <f aca="false">$E$19/F20</f>
        <v>8000000</v>
      </c>
      <c r="G21" s="124" t="n">
        <f aca="false">$E$19/G20</f>
        <v>4000000</v>
      </c>
      <c r="H21" s="124" t="n">
        <f aca="false">$E$19/H20</f>
        <v>2000000</v>
      </c>
      <c r="I21" s="124" t="n">
        <f aca="false">$E$19/I20</f>
        <v>1000000</v>
      </c>
      <c r="J21" s="124" t="n">
        <f aca="false">$E$19/J20</f>
        <v>500000</v>
      </c>
      <c r="K21" s="124" t="n">
        <f aca="false">$E$19/K20</f>
        <v>250000</v>
      </c>
      <c r="L21" s="125" t="n">
        <f aca="false">$E$19/L20</f>
        <v>125000</v>
      </c>
      <c r="O21" s="231"/>
      <c r="P21" s="233"/>
      <c r="R21" s="159" t="s">
        <v>373</v>
      </c>
      <c r="S21" s="160" t="n">
        <f aca="false">S18*S19/1024</f>
        <v>1.58</v>
      </c>
      <c r="U21" s="116" t="n">
        <v>18</v>
      </c>
      <c r="V21" s="117" t="s">
        <v>425</v>
      </c>
      <c r="W21" s="118" t="s">
        <v>426</v>
      </c>
      <c r="X21" s="119" t="n">
        <v>0</v>
      </c>
      <c r="Y21" s="117" t="n">
        <v>0</v>
      </c>
      <c r="Z21" s="227" t="s">
        <v>534</v>
      </c>
      <c r="AA21" s="229" t="s">
        <v>580</v>
      </c>
      <c r="AB21" s="120"/>
      <c r="AD21" s="228"/>
      <c r="AE21" s="228"/>
    </row>
    <row r="22" customFormat="false" ht="12.8" hidden="false" customHeight="false" outlineLevel="0" collapsed="false">
      <c r="A22" s="178" t="s">
        <v>581</v>
      </c>
      <c r="B22" s="179" t="str">
        <f aca="false">DEC2HEX((((B21*B3)/B13)-1),4)</f>
        <v>004F</v>
      </c>
      <c r="D22" s="97" t="s">
        <v>303</v>
      </c>
      <c r="E22" s="130" t="n">
        <f aca="false">1/E21</f>
        <v>6.25E-008</v>
      </c>
      <c r="F22" s="130" t="n">
        <f aca="false">1/F21</f>
        <v>1.25E-007</v>
      </c>
      <c r="G22" s="130" t="n">
        <f aca="false">1/G21</f>
        <v>2.5E-007</v>
      </c>
      <c r="H22" s="130" t="n">
        <f aca="false">1/H21</f>
        <v>5E-007</v>
      </c>
      <c r="I22" s="130" t="n">
        <f aca="false">1/I21</f>
        <v>1E-006</v>
      </c>
      <c r="J22" s="130" t="n">
        <f aca="false">1/J21</f>
        <v>2E-006</v>
      </c>
      <c r="K22" s="130" t="n">
        <f aca="false">1/K21</f>
        <v>4E-006</v>
      </c>
      <c r="L22" s="131" t="n">
        <f aca="false">1/L21</f>
        <v>8E-006</v>
      </c>
      <c r="O22" s="228"/>
      <c r="P22" s="228"/>
      <c r="U22" s="116" t="n">
        <v>19</v>
      </c>
      <c r="V22" s="117" t="s">
        <v>353</v>
      </c>
      <c r="W22" s="118" t="s">
        <v>283</v>
      </c>
      <c r="X22" s="119" t="s">
        <v>283</v>
      </c>
      <c r="Y22" s="117" t="s">
        <v>283</v>
      </c>
      <c r="Z22" s="227" t="s">
        <v>353</v>
      </c>
      <c r="AA22" s="227" t="s">
        <v>353</v>
      </c>
      <c r="AB22" s="120" t="s">
        <v>562</v>
      </c>
      <c r="AD22" s="228"/>
      <c r="AE22" s="228"/>
    </row>
    <row r="23" customFormat="false" ht="12.8" hidden="false" customHeight="false" outlineLevel="0" collapsed="false">
      <c r="A23" s="0"/>
      <c r="B23" s="0"/>
      <c r="D23" s="111" t="s">
        <v>311</v>
      </c>
      <c r="E23" s="130" t="n">
        <f aca="false">E22*256</f>
        <v>1.6E-005</v>
      </c>
      <c r="F23" s="130" t="n">
        <f aca="false">F22*256</f>
        <v>3.2E-005</v>
      </c>
      <c r="G23" s="130" t="n">
        <f aca="false">G22*256</f>
        <v>6.4E-005</v>
      </c>
      <c r="H23" s="130" t="n">
        <f aca="false">H22*256</f>
        <v>0.000128</v>
      </c>
      <c r="I23" s="130" t="n">
        <f aca="false">I22*256</f>
        <v>0.000256</v>
      </c>
      <c r="J23" s="130" t="n">
        <f aca="false">J22*256</f>
        <v>0.000512</v>
      </c>
      <c r="K23" s="130" t="n">
        <f aca="false">K22*256</f>
        <v>0.001024</v>
      </c>
      <c r="L23" s="130" t="n">
        <f aca="false">L22*256</f>
        <v>0.002048</v>
      </c>
      <c r="O23" s="234"/>
      <c r="P23" s="234"/>
      <c r="U23" s="116" t="n">
        <v>20</v>
      </c>
      <c r="V23" s="117" t="s">
        <v>436</v>
      </c>
      <c r="W23" s="118" t="s">
        <v>283</v>
      </c>
      <c r="X23" s="119" t="s">
        <v>283</v>
      </c>
      <c r="Y23" s="117" t="s">
        <v>283</v>
      </c>
      <c r="Z23" s="227" t="s">
        <v>436</v>
      </c>
      <c r="AA23" s="227" t="s">
        <v>436</v>
      </c>
      <c r="AB23" s="120" t="s">
        <v>582</v>
      </c>
      <c r="AD23" s="228"/>
      <c r="AE23" s="228"/>
    </row>
    <row r="24" customFormat="false" ht="12.8" hidden="false" customHeight="false" outlineLevel="0" collapsed="false">
      <c r="A24" s="148" t="s">
        <v>439</v>
      </c>
      <c r="B24" s="148"/>
      <c r="D24" s="97" t="s">
        <v>440</v>
      </c>
      <c r="E24" s="235" t="n">
        <v>48</v>
      </c>
      <c r="F24" s="235" t="n">
        <v>0</v>
      </c>
      <c r="G24" s="235" t="n">
        <v>0</v>
      </c>
      <c r="H24" s="235" t="n">
        <v>0</v>
      </c>
      <c r="I24" s="235" t="n">
        <v>0</v>
      </c>
      <c r="J24" s="235" t="n">
        <v>0</v>
      </c>
      <c r="K24" s="235" t="n">
        <v>0</v>
      </c>
      <c r="L24" s="236" t="n">
        <v>0</v>
      </c>
      <c r="O24" s="237"/>
      <c r="P24" s="238"/>
      <c r="U24" s="116" t="n">
        <v>21</v>
      </c>
      <c r="V24" s="117" t="s">
        <v>443</v>
      </c>
      <c r="W24" s="118" t="s">
        <v>444</v>
      </c>
      <c r="X24" s="119" t="n">
        <v>1</v>
      </c>
      <c r="Y24" s="117" t="n">
        <v>0</v>
      </c>
      <c r="Z24" s="227" t="s">
        <v>544</v>
      </c>
      <c r="AA24" s="229" t="s">
        <v>583</v>
      </c>
      <c r="AB24" s="120" t="s">
        <v>584</v>
      </c>
      <c r="AD24" s="228"/>
      <c r="AE24" s="228"/>
    </row>
    <row r="25" customFormat="false" ht="12.8" hidden="false" customHeight="false" outlineLevel="0" collapsed="false">
      <c r="A25" s="187" t="s">
        <v>448</v>
      </c>
      <c r="B25" s="188" t="n">
        <v>16000000</v>
      </c>
      <c r="D25" s="111" t="s">
        <v>449</v>
      </c>
      <c r="E25" s="130" t="n">
        <f aca="false">(E24*E22)</f>
        <v>3E-006</v>
      </c>
      <c r="F25" s="130" t="n">
        <f aca="false">(F24*F22)</f>
        <v>0</v>
      </c>
      <c r="G25" s="130" t="n">
        <f aca="false">(G24*G22)</f>
        <v>0</v>
      </c>
      <c r="H25" s="130" t="n">
        <f aca="false">(H24*H22)</f>
        <v>0</v>
      </c>
      <c r="I25" s="130" t="n">
        <f aca="false">(I24*I22)</f>
        <v>0</v>
      </c>
      <c r="J25" s="130" t="n">
        <f aca="false">(J24*J22)</f>
        <v>0</v>
      </c>
      <c r="K25" s="130" t="n">
        <f aca="false">(K24*K22)</f>
        <v>0</v>
      </c>
      <c r="L25" s="131" t="n">
        <f aca="false">(L24*L22)</f>
        <v>0</v>
      </c>
      <c r="O25" s="237"/>
      <c r="P25" s="238"/>
      <c r="U25" s="116" t="n">
        <v>22</v>
      </c>
      <c r="V25" s="117" t="s">
        <v>452</v>
      </c>
      <c r="W25" s="118" t="s">
        <v>453</v>
      </c>
      <c r="X25" s="119" t="n">
        <v>0</v>
      </c>
      <c r="Y25" s="117" t="n">
        <v>0</v>
      </c>
      <c r="Z25" s="227" t="s">
        <v>445</v>
      </c>
      <c r="AA25" s="227" t="s">
        <v>445</v>
      </c>
      <c r="AB25" s="120" t="s">
        <v>446</v>
      </c>
      <c r="AD25" s="228"/>
      <c r="AE25" s="228"/>
    </row>
    <row r="26" customFormat="false" ht="12.8" hidden="false" customHeight="false" outlineLevel="0" collapsed="false">
      <c r="A26" s="187" t="s">
        <v>278</v>
      </c>
      <c r="B26" s="189" t="n">
        <f aca="false">1/B25</f>
        <v>6.25E-008</v>
      </c>
      <c r="D26" s="111" t="s">
        <v>457</v>
      </c>
      <c r="E26" s="235" t="n">
        <v>1</v>
      </c>
      <c r="F26" s="235" t="n">
        <v>1</v>
      </c>
      <c r="G26" s="235" t="n">
        <v>1</v>
      </c>
      <c r="H26" s="235" t="n">
        <v>1</v>
      </c>
      <c r="I26" s="235" t="n">
        <v>1</v>
      </c>
      <c r="J26" s="235" t="n">
        <v>1</v>
      </c>
      <c r="K26" s="235" t="n">
        <v>1</v>
      </c>
      <c r="L26" s="236" t="n">
        <v>1</v>
      </c>
      <c r="O26" s="237"/>
      <c r="P26" s="239"/>
      <c r="U26" s="116" t="n">
        <v>23</v>
      </c>
      <c r="V26" s="117" t="s">
        <v>460</v>
      </c>
      <c r="W26" s="118" t="s">
        <v>461</v>
      </c>
      <c r="X26" s="119" t="n">
        <v>0</v>
      </c>
      <c r="Y26" s="117" t="n">
        <v>0</v>
      </c>
      <c r="Z26" s="227" t="s">
        <v>445</v>
      </c>
      <c r="AA26" s="227" t="s">
        <v>445</v>
      </c>
      <c r="AB26" s="120" t="s">
        <v>446</v>
      </c>
      <c r="AD26" s="228"/>
      <c r="AE26" s="228"/>
    </row>
    <row r="27" customFormat="false" ht="12.8" hidden="false" customHeight="false" outlineLevel="0" collapsed="false">
      <c r="A27" s="187" t="s">
        <v>290</v>
      </c>
      <c r="B27" s="191" t="n">
        <f aca="false">B25/4</f>
        <v>4000000</v>
      </c>
      <c r="D27" s="111" t="s">
        <v>466</v>
      </c>
      <c r="E27" s="130" t="n">
        <f aca="false">E25*E26</f>
        <v>3E-006</v>
      </c>
      <c r="F27" s="130" t="n">
        <f aca="false">F25*F26</f>
        <v>0</v>
      </c>
      <c r="G27" s="130" t="n">
        <f aca="false">G25*G26</f>
        <v>0</v>
      </c>
      <c r="H27" s="130" t="n">
        <f aca="false">H25*H26</f>
        <v>0</v>
      </c>
      <c r="I27" s="130" t="n">
        <f aca="false">I25*I26</f>
        <v>0</v>
      </c>
      <c r="J27" s="130" t="n">
        <f aca="false">J25*J26</f>
        <v>0</v>
      </c>
      <c r="K27" s="130" t="n">
        <f aca="false">K25*K26</f>
        <v>0</v>
      </c>
      <c r="L27" s="131" t="n">
        <f aca="false">L25*L26</f>
        <v>0</v>
      </c>
      <c r="O27" s="240"/>
      <c r="P27" s="237"/>
      <c r="U27" s="116" t="n">
        <v>24</v>
      </c>
      <c r="V27" s="117" t="s">
        <v>469</v>
      </c>
      <c r="W27" s="118" t="s">
        <v>470</v>
      </c>
      <c r="X27" s="119" t="n">
        <v>1</v>
      </c>
      <c r="Y27" s="117" t="n">
        <v>0</v>
      </c>
      <c r="Z27" s="227" t="s">
        <v>469</v>
      </c>
      <c r="AA27" s="229" t="s">
        <v>334</v>
      </c>
      <c r="AB27" s="120" t="s">
        <v>585</v>
      </c>
      <c r="AD27" s="228"/>
      <c r="AE27" s="228"/>
    </row>
    <row r="28" customFormat="false" ht="12.8" hidden="false" customHeight="false" outlineLevel="0" collapsed="false">
      <c r="A28" s="187" t="s">
        <v>302</v>
      </c>
      <c r="B28" s="189" t="n">
        <f aca="false">1/B27</f>
        <v>2.5E-007</v>
      </c>
      <c r="D28" s="140" t="s">
        <v>322</v>
      </c>
      <c r="E28" s="194" t="n">
        <f aca="false">1/E27</f>
        <v>333333.333333333</v>
      </c>
      <c r="F28" s="194" t="e">
        <f aca="false">1/F27</f>
        <v>#DIV/0!</v>
      </c>
      <c r="G28" s="194" t="e">
        <f aca="false">1/G27</f>
        <v>#DIV/0!</v>
      </c>
      <c r="H28" s="194" t="e">
        <f aca="false">1/H27</f>
        <v>#DIV/0!</v>
      </c>
      <c r="I28" s="194" t="e">
        <f aca="false">1/I27</f>
        <v>#DIV/0!</v>
      </c>
      <c r="J28" s="194" t="e">
        <f aca="false">1/J27</f>
        <v>#DIV/0!</v>
      </c>
      <c r="K28" s="194" t="e">
        <f aca="false">1/K27</f>
        <v>#DIV/0!</v>
      </c>
      <c r="L28" s="195" t="e">
        <f aca="false">1/L27</f>
        <v>#DIV/0!</v>
      </c>
      <c r="O28" s="237"/>
      <c r="P28" s="238"/>
      <c r="U28" s="116" t="n">
        <v>25</v>
      </c>
      <c r="V28" s="117" t="s">
        <v>477</v>
      </c>
      <c r="W28" s="118" t="s">
        <v>478</v>
      </c>
      <c r="X28" s="119" t="n">
        <v>1</v>
      </c>
      <c r="Y28" s="117" t="n">
        <v>0</v>
      </c>
      <c r="Z28" s="227" t="s">
        <v>544</v>
      </c>
      <c r="AA28" s="229" t="s">
        <v>586</v>
      </c>
      <c r="AB28" s="120" t="s">
        <v>587</v>
      </c>
      <c r="AD28" s="228"/>
      <c r="AE28" s="228"/>
    </row>
    <row r="29" customFormat="false" ht="12.8" hidden="false" customHeight="false" outlineLevel="0" collapsed="false">
      <c r="A29" s="187" t="s">
        <v>482</v>
      </c>
      <c r="B29" s="196" t="n">
        <f aca="false">B33/B28</f>
        <v>40</v>
      </c>
      <c r="O29" s="237"/>
      <c r="P29" s="238"/>
      <c r="U29" s="116" t="n">
        <v>26</v>
      </c>
      <c r="V29" s="117" t="s">
        <v>485</v>
      </c>
      <c r="W29" s="118" t="s">
        <v>486</v>
      </c>
      <c r="X29" s="119" t="n">
        <v>0</v>
      </c>
      <c r="Y29" s="117" t="n">
        <v>0</v>
      </c>
      <c r="Z29" s="227" t="n">
        <v>0</v>
      </c>
      <c r="AA29" s="229" t="s">
        <v>588</v>
      </c>
      <c r="AB29" s="120" t="s">
        <v>589</v>
      </c>
      <c r="AD29" s="228"/>
      <c r="AE29" s="228"/>
    </row>
    <row r="30" customFormat="false" ht="12.8" hidden="false" customHeight="false" outlineLevel="0" collapsed="false">
      <c r="A30" s="187" t="s">
        <v>489</v>
      </c>
      <c r="B30" s="197" t="s">
        <v>490</v>
      </c>
      <c r="O30" s="237"/>
      <c r="P30" s="238"/>
      <c r="S30" s="241"/>
      <c r="U30" s="116" t="n">
        <v>27</v>
      </c>
      <c r="V30" s="117" t="s">
        <v>493</v>
      </c>
      <c r="W30" s="118" t="s">
        <v>283</v>
      </c>
      <c r="X30" s="119" t="n">
        <v>0</v>
      </c>
      <c r="Y30" s="117" t="n">
        <v>0</v>
      </c>
      <c r="Z30" s="117" t="s">
        <v>590</v>
      </c>
      <c r="AA30" s="117" t="s">
        <v>591</v>
      </c>
      <c r="AB30" s="242" t="s">
        <v>592</v>
      </c>
      <c r="AD30" s="228"/>
      <c r="AE30" s="228"/>
    </row>
    <row r="31" customFormat="false" ht="12.8" hidden="false" customHeight="false" outlineLevel="0" collapsed="false">
      <c r="A31" s="187" t="s">
        <v>365</v>
      </c>
      <c r="B31" s="198" t="n">
        <v>1</v>
      </c>
      <c r="O31" s="237"/>
      <c r="P31" s="238"/>
      <c r="U31" s="199" t="n">
        <v>28</v>
      </c>
      <c r="V31" s="200" t="s">
        <v>499</v>
      </c>
      <c r="W31" s="201" t="s">
        <v>283</v>
      </c>
      <c r="X31" s="202" t="n">
        <v>1</v>
      </c>
      <c r="Y31" s="200" t="n">
        <v>0</v>
      </c>
      <c r="Z31" s="200" t="s">
        <v>590</v>
      </c>
      <c r="AA31" s="200" t="s">
        <v>593</v>
      </c>
      <c r="AB31" s="203" t="s">
        <v>592</v>
      </c>
      <c r="AD31" s="228"/>
      <c r="AE31" s="228"/>
    </row>
    <row r="32" customFormat="false" ht="12.8" hidden="false" customHeight="false" outlineLevel="0" collapsed="false">
      <c r="A32" s="187" t="s">
        <v>371</v>
      </c>
      <c r="B32" s="198" t="n">
        <v>2</v>
      </c>
      <c r="O32" s="237"/>
      <c r="P32" s="238"/>
      <c r="U32" s="0"/>
      <c r="V32" s="0"/>
      <c r="W32" s="0"/>
      <c r="X32" s="0"/>
      <c r="Y32" s="0"/>
      <c r="Z32" s="0"/>
      <c r="AA32" s="0"/>
      <c r="AB32" s="0"/>
      <c r="AD32" s="228"/>
      <c r="AE32" s="228"/>
    </row>
    <row r="33" customFormat="false" ht="12.8" hidden="false" customHeight="false" outlineLevel="0" collapsed="false">
      <c r="A33" s="187" t="s">
        <v>504</v>
      </c>
      <c r="B33" s="204" t="n">
        <f aca="false">(HEX2DEC(B30)+1)*4*B26*B31</f>
        <v>1E-005</v>
      </c>
      <c r="O33" s="237"/>
      <c r="P33" s="238"/>
      <c r="U33" s="0"/>
      <c r="V33" s="0"/>
      <c r="W33" s="0"/>
      <c r="X33" s="0"/>
      <c r="Y33" s="0"/>
      <c r="Z33" s="0"/>
      <c r="AA33" s="0"/>
      <c r="AB33" s="0"/>
      <c r="AD33" s="228"/>
      <c r="AE33" s="228"/>
    </row>
    <row r="34" customFormat="false" ht="12.8" hidden="false" customHeight="false" outlineLevel="0" collapsed="false">
      <c r="A34" s="187" t="s">
        <v>507</v>
      </c>
      <c r="B34" s="205" t="n">
        <f aca="false">1/B33</f>
        <v>100000</v>
      </c>
      <c r="O34" s="237"/>
      <c r="P34" s="238"/>
      <c r="U34" s="0"/>
      <c r="V34" s="0"/>
      <c r="W34" s="0"/>
      <c r="X34" s="0"/>
      <c r="Y34" s="0"/>
      <c r="Z34" s="0"/>
      <c r="AA34" s="0"/>
      <c r="AB34" s="0"/>
      <c r="AD34" s="228"/>
      <c r="AE34" s="228"/>
    </row>
    <row r="35" customFormat="false" ht="12.8" hidden="false" customHeight="false" outlineLevel="0" collapsed="false">
      <c r="A35" s="187" t="s">
        <v>510</v>
      </c>
      <c r="B35" s="207" t="n">
        <f aca="false">ROUND(((LOG10(4*(HEX2DEC(B30)+1)))/LOG10(2)),0)</f>
        <v>7</v>
      </c>
      <c r="O35" s="237"/>
      <c r="P35" s="238"/>
      <c r="U35" s="0"/>
      <c r="V35" s="0"/>
      <c r="W35" s="0"/>
      <c r="X35" s="0"/>
      <c r="Y35" s="0"/>
      <c r="Z35" s="0"/>
      <c r="AA35" s="0"/>
      <c r="AB35" s="0"/>
      <c r="AD35" s="228"/>
      <c r="AE35" s="228"/>
    </row>
    <row r="36" customFormat="false" ht="12.8" hidden="false" customHeight="false" outlineLevel="0" collapsed="false">
      <c r="A36" s="187" t="s">
        <v>514</v>
      </c>
      <c r="B36" s="208" t="n">
        <f aca="false">POWER(2,B35)-B32</f>
        <v>126</v>
      </c>
      <c r="O36" s="237"/>
      <c r="P36" s="238"/>
      <c r="U36" s="0"/>
      <c r="V36" s="0"/>
      <c r="W36" s="0"/>
      <c r="X36" s="0"/>
      <c r="Y36" s="0"/>
      <c r="Z36" s="0"/>
      <c r="AA36" s="0"/>
      <c r="AB36" s="0"/>
      <c r="AD36" s="228"/>
      <c r="AE36" s="228"/>
    </row>
    <row r="37" customFormat="false" ht="12.8" hidden="false" customHeight="false" outlineLevel="0" collapsed="false">
      <c r="A37" s="187" t="s">
        <v>518</v>
      </c>
      <c r="B37" s="197" t="s">
        <v>519</v>
      </c>
      <c r="O37" s="243"/>
      <c r="P37" s="244"/>
      <c r="U37" s="0"/>
      <c r="V37" s="0"/>
      <c r="W37" s="0"/>
      <c r="X37" s="0"/>
      <c r="Y37" s="0"/>
      <c r="Z37" s="0"/>
      <c r="AA37" s="0"/>
      <c r="AB37" s="0"/>
      <c r="AD37" s="228"/>
      <c r="AE37" s="228"/>
    </row>
    <row r="38" customFormat="false" ht="12.8" hidden="false" customHeight="false" outlineLevel="0" collapsed="false">
      <c r="A38" s="187" t="s">
        <v>522</v>
      </c>
      <c r="B38" s="213" t="n">
        <f aca="false">HEX2DEC(B37)*B26*B31</f>
        <v>1E-006</v>
      </c>
      <c r="O38" s="237"/>
      <c r="P38" s="238"/>
      <c r="U38" s="0"/>
      <c r="V38" s="0"/>
      <c r="W38" s="0"/>
      <c r="X38" s="0"/>
      <c r="Y38" s="0"/>
      <c r="Z38" s="0"/>
      <c r="AA38" s="0"/>
      <c r="AB38" s="0"/>
      <c r="AD38" s="228"/>
      <c r="AE38" s="228"/>
    </row>
    <row r="39" customFormat="false" ht="12.8" hidden="false" customHeight="false" outlineLevel="0" collapsed="false">
      <c r="A39" s="215" t="s">
        <v>527</v>
      </c>
      <c r="B39" s="216" t="n">
        <f aca="false">B38/B33</f>
        <v>0.1</v>
      </c>
      <c r="O39" s="237"/>
      <c r="P39" s="237"/>
      <c r="U39" s="0"/>
      <c r="V39" s="0"/>
      <c r="W39" s="0"/>
      <c r="X39" s="0"/>
      <c r="Y39" s="0"/>
      <c r="Z39" s="0"/>
      <c r="AA39" s="0"/>
      <c r="AB39" s="0"/>
      <c r="AD39" s="228"/>
      <c r="AE39" s="228"/>
    </row>
    <row r="40" customFormat="false" ht="12.8" hidden="false" customHeight="false" outlineLevel="0" collapsed="false">
      <c r="O40" s="237"/>
      <c r="P40" s="238"/>
      <c r="U40" s="0"/>
      <c r="V40" s="0"/>
      <c r="W40" s="0"/>
      <c r="X40" s="0"/>
      <c r="Y40" s="0"/>
      <c r="Z40" s="0"/>
      <c r="AA40" s="0"/>
      <c r="AB40" s="0"/>
      <c r="AD40" s="228"/>
      <c r="AE40" s="228"/>
    </row>
    <row r="41" customFormat="false" ht="12.8" hidden="false" customHeight="false" outlineLevel="0" collapsed="false">
      <c r="O41" s="237"/>
      <c r="P41" s="238"/>
      <c r="U41" s="0"/>
      <c r="V41" s="0"/>
      <c r="W41" s="0"/>
      <c r="X41" s="0"/>
      <c r="Y41" s="0"/>
      <c r="Z41" s="0"/>
      <c r="AA41" s="0"/>
      <c r="AB41" s="0"/>
      <c r="AD41" s="228"/>
      <c r="AE41" s="228"/>
    </row>
    <row r="42" customFormat="false" ht="12.8" hidden="false" customHeight="false" outlineLevel="0" collapsed="false">
      <c r="O42" s="245"/>
      <c r="P42" s="244"/>
      <c r="U42" s="0"/>
      <c r="V42" s="0"/>
      <c r="W42" s="0"/>
      <c r="X42" s="0"/>
      <c r="Y42" s="0"/>
      <c r="Z42" s="0"/>
      <c r="AA42" s="0"/>
      <c r="AB42" s="0"/>
      <c r="AD42" s="228"/>
      <c r="AE42" s="228"/>
    </row>
    <row r="43" customFormat="false" ht="12.8" hidden="false" customHeight="false" outlineLevel="0" collapsed="false">
      <c r="U43" s="0"/>
      <c r="V43" s="0"/>
      <c r="W43" s="0"/>
      <c r="X43" s="0"/>
      <c r="Y43" s="0"/>
      <c r="Z43" s="0"/>
      <c r="AA43" s="0"/>
      <c r="AB43" s="0"/>
      <c r="AD43" s="228"/>
      <c r="AE43" s="228"/>
    </row>
    <row r="44" customFormat="false" ht="12.8" hidden="false" customHeight="false" outlineLevel="0" collapsed="false">
      <c r="U44" s="0"/>
      <c r="V44" s="0"/>
      <c r="W44" s="0"/>
      <c r="X44" s="0"/>
      <c r="Y44" s="0"/>
      <c r="Z44" s="0"/>
      <c r="AA44" s="0"/>
      <c r="AB44" s="0"/>
      <c r="AD44" s="228"/>
      <c r="AE44" s="228"/>
    </row>
    <row r="45" customFormat="false" ht="12.8" hidden="false" customHeight="false" outlineLevel="0" collapsed="false">
      <c r="U45" s="0"/>
      <c r="V45" s="0"/>
      <c r="W45" s="0"/>
      <c r="X45" s="0"/>
      <c r="Y45" s="0"/>
      <c r="Z45" s="0"/>
      <c r="AA45" s="0"/>
      <c r="AB45" s="0"/>
      <c r="AD45" s="228"/>
      <c r="AE45" s="228"/>
    </row>
    <row r="46" customFormat="false" ht="12.8" hidden="false" customHeight="false" outlineLevel="0" collapsed="false">
      <c r="U46" s="0"/>
      <c r="V46" s="0"/>
      <c r="W46" s="0"/>
      <c r="X46" s="0"/>
      <c r="Y46" s="0"/>
      <c r="Z46" s="0"/>
      <c r="AA46" s="0"/>
      <c r="AB46" s="0"/>
      <c r="AD46" s="228"/>
      <c r="AE46" s="228"/>
    </row>
    <row r="47" customFormat="false" ht="12.8" hidden="false" customHeight="false" outlineLevel="0" collapsed="false">
      <c r="U47" s="0"/>
      <c r="V47" s="0"/>
      <c r="W47" s="0"/>
      <c r="X47" s="0"/>
      <c r="Y47" s="0"/>
      <c r="Z47" s="0"/>
      <c r="AA47" s="0"/>
      <c r="AB47" s="0"/>
    </row>
    <row r="48" customFormat="false" ht="12.8" hidden="false" customHeight="false" outlineLevel="0" collapsed="false">
      <c r="U48" s="0"/>
      <c r="V48" s="0"/>
      <c r="W48" s="0"/>
      <c r="X48" s="0"/>
      <c r="Y48" s="0"/>
      <c r="Z48" s="0"/>
      <c r="AA48" s="0"/>
      <c r="AB48" s="0"/>
    </row>
    <row r="49" customFormat="false" ht="12.8" hidden="false" customHeight="false" outlineLevel="0" collapsed="false">
      <c r="U49" s="0"/>
      <c r="V49" s="0"/>
      <c r="W49" s="0"/>
      <c r="X49" s="0"/>
      <c r="Y49" s="0"/>
      <c r="Z49" s="0"/>
      <c r="AA49" s="0"/>
      <c r="AB49" s="0"/>
    </row>
    <row r="50" customFormat="false" ht="12.8" hidden="false" customHeight="false" outlineLevel="0" collapsed="false">
      <c r="U50" s="0"/>
      <c r="V50" s="0"/>
      <c r="W50" s="0"/>
      <c r="X50" s="0"/>
      <c r="Y50" s="0"/>
      <c r="Z50" s="0"/>
      <c r="AA50" s="0"/>
      <c r="AB50" s="0"/>
    </row>
    <row r="51" customFormat="false" ht="12.8" hidden="false" customHeight="false" outlineLevel="0" collapsed="false">
      <c r="U51" s="0"/>
      <c r="V51" s="0"/>
      <c r="W51" s="0"/>
      <c r="X51" s="0"/>
      <c r="Y51" s="0"/>
      <c r="Z51" s="0"/>
      <c r="AA51" s="0"/>
      <c r="AB51" s="0"/>
    </row>
    <row r="52" customFormat="false" ht="12.8" hidden="false" customHeight="false" outlineLevel="0" collapsed="false">
      <c r="U52" s="0"/>
      <c r="V52" s="0"/>
      <c r="W52" s="0"/>
      <c r="X52" s="0"/>
      <c r="Y52" s="0"/>
      <c r="Z52" s="0"/>
      <c r="AA52" s="0"/>
      <c r="AB52" s="0"/>
    </row>
    <row r="53" customFormat="false" ht="12.8" hidden="false" customHeight="false" outlineLevel="0" collapsed="false">
      <c r="U53" s="0"/>
      <c r="V53" s="0"/>
      <c r="W53" s="0"/>
      <c r="X53" s="0"/>
      <c r="Y53" s="0"/>
      <c r="Z53" s="0"/>
      <c r="AA53" s="0"/>
      <c r="AB53" s="0"/>
    </row>
    <row r="54" customFormat="false" ht="12.8" hidden="false" customHeight="false" outlineLevel="0" collapsed="false">
      <c r="U54" s="0"/>
      <c r="V54" s="0"/>
      <c r="W54" s="0"/>
      <c r="X54" s="0"/>
      <c r="Y54" s="0"/>
      <c r="Z54" s="0"/>
      <c r="AA54" s="0"/>
      <c r="AB54" s="0"/>
    </row>
    <row r="55" customFormat="false" ht="12.8" hidden="false" customHeight="false" outlineLevel="0" collapsed="false">
      <c r="U55" s="0"/>
      <c r="V55" s="0"/>
      <c r="W55" s="0"/>
      <c r="X55" s="0"/>
      <c r="Y55" s="0"/>
      <c r="Z55" s="0"/>
      <c r="AA55" s="0"/>
      <c r="AB55" s="0"/>
    </row>
  </sheetData>
  <mergeCells count="16">
    <mergeCell ref="A2:B2"/>
    <mergeCell ref="D2:M2"/>
    <mergeCell ref="O2:P2"/>
    <mergeCell ref="R2:S2"/>
    <mergeCell ref="U2:W2"/>
    <mergeCell ref="X2:AB2"/>
    <mergeCell ref="F3:M3"/>
    <mergeCell ref="D10:H10"/>
    <mergeCell ref="R10:S10"/>
    <mergeCell ref="F11:H11"/>
    <mergeCell ref="O17:P17"/>
    <mergeCell ref="R17:S17"/>
    <mergeCell ref="D18:L18"/>
    <mergeCell ref="F19:L19"/>
    <mergeCell ref="O23:P23"/>
    <mergeCell ref="A24:B24"/>
  </mergeCells>
  <dataValidations count="1">
    <dataValidation allowBlank="true" operator="equal" showDropDown="false" showErrorMessage="true" showInputMessage="true" sqref="B13" type="none">
      <formula1>0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5:P3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N14" activeCellId="0" sqref="N14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46" width="13.24"/>
    <col collapsed="false" customWidth="false" hidden="false" outlineLevel="0" max="2" min="2" style="247" width="11.52"/>
    <col collapsed="false" customWidth="true" hidden="false" outlineLevel="0" max="8" min="8" style="0" width="13.8"/>
    <col collapsed="false" customWidth="true" hidden="false" outlineLevel="0" max="11" min="11" style="0" width="38.62"/>
  </cols>
  <sheetData>
    <row r="5" customFormat="false" ht="12.8" hidden="false" customHeight="false" outlineLevel="0" collapsed="false">
      <c r="A5" s="246" t="s">
        <v>270</v>
      </c>
      <c r="B5" s="247" t="s">
        <v>594</v>
      </c>
      <c r="C5" s="2" t="s">
        <v>595</v>
      </c>
      <c r="D5" s="2" t="n">
        <v>1</v>
      </c>
      <c r="E5" s="2" t="n">
        <v>2</v>
      </c>
      <c r="F5" s="2" t="n">
        <v>3</v>
      </c>
      <c r="G5" s="2" t="n">
        <v>4</v>
      </c>
      <c r="H5" s="2" t="s">
        <v>596</v>
      </c>
      <c r="I5" s="2" t="s">
        <v>597</v>
      </c>
      <c r="J5" s="2" t="s">
        <v>598</v>
      </c>
      <c r="K5" s="0" t="s">
        <v>599</v>
      </c>
      <c r="M5" s="248" t="s">
        <v>600</v>
      </c>
      <c r="N5" s="248"/>
      <c r="O5" s="248"/>
    </row>
    <row r="6" customFormat="false" ht="12.8" hidden="false" customHeight="false" outlineLevel="0" collapsed="false">
      <c r="A6" s="246" t="n">
        <v>44482</v>
      </c>
      <c r="B6" s="247" t="n">
        <v>0.677083333333333</v>
      </c>
      <c r="C6" s="2" t="n">
        <v>56.1</v>
      </c>
      <c r="D6" s="2" t="n">
        <v>13.73</v>
      </c>
      <c r="E6" s="2" t="n">
        <v>15.49</v>
      </c>
      <c r="F6" s="2" t="n">
        <v>13.51</v>
      </c>
      <c r="G6" s="2" t="n">
        <v>13.38</v>
      </c>
      <c r="H6" s="2" t="n">
        <v>0</v>
      </c>
      <c r="I6" s="2" t="n">
        <v>0</v>
      </c>
      <c r="J6" s="2" t="s">
        <v>601</v>
      </c>
      <c r="K6" s="0" t="s">
        <v>602</v>
      </c>
      <c r="M6" s="121" t="s">
        <v>603</v>
      </c>
      <c r="N6" s="121"/>
      <c r="O6" s="249" t="n">
        <v>13.272</v>
      </c>
    </row>
    <row r="7" customFormat="false" ht="12.8" hidden="false" customHeight="false" outlineLevel="0" collapsed="false">
      <c r="A7" s="246" t="n">
        <v>44482</v>
      </c>
      <c r="B7" s="247" t="n">
        <v>0.680555555555555</v>
      </c>
      <c r="C7" s="0" t="n">
        <v>54.02</v>
      </c>
      <c r="D7" s="0" t="n">
        <v>13.72</v>
      </c>
      <c r="E7" s="0" t="n">
        <v>13.41</v>
      </c>
      <c r="F7" s="0" t="n">
        <v>13.51</v>
      </c>
      <c r="G7" s="0" t="n">
        <v>13.38</v>
      </c>
      <c r="H7" s="0" t="n">
        <v>0</v>
      </c>
      <c r="I7" s="0" t="n">
        <v>0</v>
      </c>
      <c r="J7" s="0" t="s">
        <v>604</v>
      </c>
      <c r="K7" s="0" t="s">
        <v>605</v>
      </c>
      <c r="M7" s="121" t="s">
        <v>296</v>
      </c>
      <c r="N7" s="121" t="n">
        <v>537</v>
      </c>
      <c r="O7" s="249" t="n">
        <f aca="false">0.004*N7*6</f>
        <v>12.888</v>
      </c>
    </row>
    <row r="8" customFormat="false" ht="12.8" hidden="false" customHeight="false" outlineLevel="0" collapsed="false">
      <c r="A8" s="246" t="n">
        <v>44482</v>
      </c>
      <c r="B8" s="247" t="n">
        <v>0.744444444444444</v>
      </c>
      <c r="C8" s="0" t="n">
        <v>53.98</v>
      </c>
      <c r="D8" s="0" t="n">
        <v>13.56</v>
      </c>
      <c r="E8" s="0" t="n">
        <v>13.63</v>
      </c>
      <c r="F8" s="0" t="n">
        <v>13.43</v>
      </c>
      <c r="G8" s="0" t="n">
        <v>13.36</v>
      </c>
      <c r="H8" s="0" t="n">
        <v>0</v>
      </c>
      <c r="I8" s="0" t="n">
        <v>0</v>
      </c>
      <c r="J8" s="0" t="s">
        <v>604</v>
      </c>
      <c r="M8" s="121" t="s">
        <v>606</v>
      </c>
      <c r="N8" s="121"/>
      <c r="O8" s="249" t="n">
        <f aca="false">O6-O7</f>
        <v>0.383999999999999</v>
      </c>
    </row>
    <row r="9" customFormat="false" ht="12.8" hidden="false" customHeight="false" outlineLevel="0" collapsed="false">
      <c r="M9" s="121" t="s">
        <v>607</v>
      </c>
      <c r="N9" s="121"/>
      <c r="O9" s="249" t="n">
        <f aca="false">ROUNDDOWN((O8/6)/0.004,0)</f>
        <v>16</v>
      </c>
    </row>
    <row r="10" customFormat="false" ht="12.8" hidden="false" customHeight="false" outlineLevel="0" collapsed="false">
      <c r="O10" s="25"/>
    </row>
    <row r="11" customFormat="false" ht="12.8" hidden="false" customHeight="false" outlineLevel="0" collapsed="false">
      <c r="M11" s="61" t="s">
        <v>608</v>
      </c>
      <c r="N11" s="61"/>
      <c r="O11" s="61"/>
      <c r="P11" s="0" t="s">
        <v>609</v>
      </c>
    </row>
    <row r="12" customFormat="false" ht="12.8" hidden="false" customHeight="false" outlineLevel="0" collapsed="false">
      <c r="M12" s="0" t="s">
        <v>610</v>
      </c>
      <c r="O12" s="25" t="n">
        <v>11.864</v>
      </c>
      <c r="P12" s="25" t="n">
        <v>13.02</v>
      </c>
    </row>
    <row r="13" customFormat="false" ht="12.8" hidden="false" customHeight="false" outlineLevel="0" collapsed="false">
      <c r="M13" s="0" t="s">
        <v>296</v>
      </c>
      <c r="N13" s="0" t="n">
        <v>498</v>
      </c>
      <c r="O13" s="25" t="n">
        <f aca="false">0.004*N13*6</f>
        <v>11.952</v>
      </c>
      <c r="P13" s="0" t="n">
        <v>526</v>
      </c>
    </row>
    <row r="14" customFormat="false" ht="12.8" hidden="false" customHeight="false" outlineLevel="0" collapsed="false">
      <c r="M14" s="0" t="s">
        <v>611</v>
      </c>
      <c r="O14" s="25" t="n">
        <f aca="false">(N13+O9)*0.004*6</f>
        <v>12.336</v>
      </c>
    </row>
    <row r="15" customFormat="false" ht="12.8" hidden="false" customHeight="false" outlineLevel="0" collapsed="false">
      <c r="O15" s="25"/>
    </row>
    <row r="16" customFormat="false" ht="12.8" hidden="false" customHeight="false" outlineLevel="0" collapsed="false">
      <c r="M16" s="248" t="s">
        <v>612</v>
      </c>
      <c r="N16" s="248"/>
      <c r="O16" s="248"/>
    </row>
    <row r="17" customFormat="false" ht="12.8" hidden="false" customHeight="false" outlineLevel="0" collapsed="false">
      <c r="M17" s="121" t="s">
        <v>603</v>
      </c>
      <c r="N17" s="121"/>
      <c r="O17" s="249" t="n">
        <v>13.267</v>
      </c>
    </row>
    <row r="18" customFormat="false" ht="12.8" hidden="false" customHeight="false" outlineLevel="0" collapsed="false">
      <c r="M18" s="121" t="s">
        <v>613</v>
      </c>
      <c r="N18" s="121" t="n">
        <v>576</v>
      </c>
      <c r="O18" s="249" t="n">
        <f aca="false">0.004*N18*6</f>
        <v>13.824</v>
      </c>
    </row>
    <row r="19" customFormat="false" ht="12.8" hidden="false" customHeight="false" outlineLevel="0" collapsed="false">
      <c r="M19" s="121" t="s">
        <v>614</v>
      </c>
      <c r="N19" s="121" t="n">
        <v>537</v>
      </c>
      <c r="O19" s="249" t="n">
        <f aca="false">0.004*N19*6</f>
        <v>12.888</v>
      </c>
    </row>
    <row r="20" customFormat="false" ht="12.8" hidden="false" customHeight="false" outlineLevel="0" collapsed="false">
      <c r="M20" s="121" t="s">
        <v>615</v>
      </c>
      <c r="N20" s="121" t="n">
        <f aca="false">N18-N19</f>
        <v>39</v>
      </c>
      <c r="O20" s="121"/>
    </row>
    <row r="21" customFormat="false" ht="12.8" hidden="false" customHeight="false" outlineLevel="0" collapsed="false">
      <c r="M21" s="121" t="s">
        <v>607</v>
      </c>
      <c r="N21" s="121" t="n">
        <f aca="false">N20-O9</f>
        <v>23</v>
      </c>
      <c r="O21" s="121"/>
    </row>
    <row r="23" customFormat="false" ht="12.8" hidden="false" customHeight="false" outlineLevel="0" collapsed="false">
      <c r="M23" s="61" t="s">
        <v>616</v>
      </c>
      <c r="N23" s="61"/>
      <c r="O23" s="61"/>
      <c r="P23" s="0" t="s">
        <v>609</v>
      </c>
    </row>
    <row r="24" customFormat="false" ht="12.8" hidden="false" customHeight="false" outlineLevel="0" collapsed="false">
      <c r="M24" s="0" t="s">
        <v>610</v>
      </c>
      <c r="O24" s="25" t="n">
        <v>13.7</v>
      </c>
      <c r="P24" s="25" t="n">
        <v>13.7</v>
      </c>
    </row>
    <row r="25" customFormat="false" ht="12.8" hidden="false" customHeight="false" outlineLevel="0" collapsed="false">
      <c r="M25" s="0" t="s">
        <v>296</v>
      </c>
      <c r="N25" s="0" t="n">
        <v>587</v>
      </c>
      <c r="O25" s="25" t="n">
        <f aca="false">0.004*N25*6</f>
        <v>14.088</v>
      </c>
      <c r="P25" s="0" t="n">
        <v>591</v>
      </c>
    </row>
    <row r="26" customFormat="false" ht="12.8" hidden="false" customHeight="false" outlineLevel="0" collapsed="false">
      <c r="M26" s="0" t="s">
        <v>611</v>
      </c>
      <c r="O26" s="25" t="n">
        <f aca="false">(N25-N21)*0.004*6</f>
        <v>13.536</v>
      </c>
    </row>
    <row r="31" customFormat="false" ht="12.8" hidden="false" customHeight="false" outlineLevel="0" collapsed="false">
      <c r="M31" s="0" t="s">
        <v>617</v>
      </c>
    </row>
    <row r="32" customFormat="false" ht="12.8" hidden="false" customHeight="false" outlineLevel="0" collapsed="false">
      <c r="M32" s="0" t="s">
        <v>618</v>
      </c>
    </row>
    <row r="33" customFormat="false" ht="12.8" hidden="false" customHeight="false" outlineLevel="0" collapsed="false">
      <c r="M33" s="0" t="s">
        <v>619</v>
      </c>
    </row>
    <row r="34" customFormat="false" ht="12.8" hidden="false" customHeight="false" outlineLevel="0" collapsed="false">
      <c r="M34" s="0" t="s">
        <v>620</v>
      </c>
    </row>
    <row r="35" customFormat="false" ht="12.8" hidden="false" customHeight="false" outlineLevel="0" collapsed="false">
      <c r="M35" s="0" t="s">
        <v>621</v>
      </c>
      <c r="N35" s="0" t="s">
        <v>622</v>
      </c>
      <c r="P35" s="0" t="s">
        <v>623</v>
      </c>
    </row>
    <row r="36" customFormat="false" ht="12.8" hidden="false" customHeight="false" outlineLevel="0" collapsed="false">
      <c r="M36" s="0" t="s">
        <v>624</v>
      </c>
      <c r="N36" s="0" t="s">
        <v>625</v>
      </c>
    </row>
  </sheetData>
  <mergeCells count="4">
    <mergeCell ref="M5:O5"/>
    <mergeCell ref="M11:O11"/>
    <mergeCell ref="M16:O16"/>
    <mergeCell ref="M23:O23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C3:F1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sheetData>
    <row r="3" customFormat="false" ht="12.8" hidden="false" customHeight="false" outlineLevel="0" collapsed="false">
      <c r="C3" s="0" t="s">
        <v>626</v>
      </c>
    </row>
    <row r="4" customFormat="false" ht="12.8" hidden="false" customHeight="false" outlineLevel="0" collapsed="false">
      <c r="C4" s="0" t="s">
        <v>627</v>
      </c>
    </row>
    <row r="5" customFormat="false" ht="12.8" hidden="false" customHeight="false" outlineLevel="0" collapsed="false">
      <c r="C5" s="0" t="s">
        <v>628</v>
      </c>
    </row>
    <row r="7" customFormat="false" ht="12.8" hidden="false" customHeight="false" outlineLevel="0" collapsed="false">
      <c r="C7" s="0" t="s">
        <v>629</v>
      </c>
      <c r="D7" s="0" t="s">
        <v>630</v>
      </c>
      <c r="E7" s="0" t="s">
        <v>241</v>
      </c>
      <c r="F7" s="0" t="s">
        <v>631</v>
      </c>
    </row>
    <row r="8" customFormat="false" ht="12.8" hidden="false" customHeight="false" outlineLevel="0" collapsed="false">
      <c r="C8" s="0" t="n">
        <v>1</v>
      </c>
      <c r="D8" s="0" t="n">
        <v>23.3</v>
      </c>
      <c r="E8" s="0" t="n">
        <v>7.44</v>
      </c>
      <c r="F8" s="0" t="n">
        <f aca="false">D8*E8</f>
        <v>173.352</v>
      </c>
    </row>
    <row r="9" customFormat="false" ht="12.8" hidden="false" customHeight="false" outlineLevel="0" collapsed="false">
      <c r="C9" s="0" t="n">
        <v>2</v>
      </c>
      <c r="D9" s="0" t="n">
        <v>24.5</v>
      </c>
      <c r="E9" s="0" t="n">
        <v>7.27</v>
      </c>
      <c r="F9" s="0" t="n">
        <f aca="false">D9*E9</f>
        <v>178.115</v>
      </c>
    </row>
    <row r="10" customFormat="false" ht="12.8" hidden="false" customHeight="false" outlineLevel="0" collapsed="false">
      <c r="C10" s="0" t="n">
        <v>3</v>
      </c>
      <c r="D10" s="0" t="n">
        <v>25.8</v>
      </c>
      <c r="E10" s="0" t="n">
        <v>7.26</v>
      </c>
      <c r="F10" s="0" t="n">
        <f aca="false">D10*E10</f>
        <v>187.308</v>
      </c>
    </row>
    <row r="11" customFormat="false" ht="12.8" hidden="false" customHeight="false" outlineLevel="0" collapsed="false">
      <c r="C11" s="0" t="n">
        <v>4</v>
      </c>
      <c r="D11" s="0" t="n">
        <v>24.9</v>
      </c>
      <c r="E11" s="0" t="n">
        <v>7.44</v>
      </c>
      <c r="F11" s="0" t="n">
        <f aca="false">D11*E11</f>
        <v>185.256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C1" activeCellId="0" sqref="C1"/>
    </sheetView>
  </sheetViews>
  <sheetFormatPr defaultColWidth="14.47265625" defaultRowHeight="12.8" zeroHeight="false" outlineLevelRow="0" outlineLevelCol="0"/>
  <cols>
    <col collapsed="false" customWidth="true" hidden="false" outlineLevel="0" max="1" min="1" style="86" width="31.69"/>
    <col collapsed="false" customWidth="true" hidden="false" outlineLevel="0" max="2" min="2" style="86" width="27.55"/>
    <col collapsed="false" customWidth="true" hidden="false" outlineLevel="0" max="3" min="3" style="86" width="9.82"/>
    <col collapsed="false" customWidth="true" hidden="false" outlineLevel="0" max="4" min="4" style="86" width="24.46"/>
    <col collapsed="false" customWidth="true" hidden="false" outlineLevel="0" max="5" min="5" style="139" width="15.84"/>
    <col collapsed="false" customWidth="true" hidden="false" outlineLevel="0" max="6" min="6" style="86" width="8.52"/>
    <col collapsed="false" customWidth="true" hidden="false" outlineLevel="0" max="7" min="7" style="86" width="73.01"/>
    <col collapsed="false" customWidth="false" hidden="false" outlineLevel="0" max="64" min="8" style="86" width="14.45"/>
    <col collapsed="false" customWidth="true" hidden="false" outlineLevel="0" max="1024" min="1016" style="86" width="11.52"/>
  </cols>
  <sheetData>
    <row r="1" customFormat="false" ht="12.8" hidden="false" customHeight="false" outlineLevel="0" collapsed="false">
      <c r="A1" s="93" t="s">
        <v>632</v>
      </c>
      <c r="B1" s="93"/>
      <c r="D1" s="93" t="s">
        <v>633</v>
      </c>
      <c r="E1" s="93"/>
      <c r="F1" s="93"/>
      <c r="G1" s="93"/>
    </row>
    <row r="2" customFormat="false" ht="16" hidden="false" customHeight="true" outlineLevel="0" collapsed="false">
      <c r="A2" s="250" t="s">
        <v>634</v>
      </c>
      <c r="B2" s="251" t="n">
        <v>1</v>
      </c>
      <c r="D2" s="103" t="s">
        <v>4</v>
      </c>
      <c r="E2" s="252" t="s">
        <v>5</v>
      </c>
      <c r="F2" s="252"/>
      <c r="G2" s="105" t="s">
        <v>635</v>
      </c>
    </row>
    <row r="3" customFormat="false" ht="12.8" hidden="false" customHeight="false" outlineLevel="0" collapsed="false">
      <c r="A3" s="253" t="s">
        <v>636</v>
      </c>
      <c r="B3" s="154" t="n">
        <v>50</v>
      </c>
      <c r="C3" s="139"/>
      <c r="D3" s="253" t="s">
        <v>637</v>
      </c>
      <c r="E3" s="254" t="n">
        <f aca="false">design!C8</f>
        <v>250</v>
      </c>
      <c r="F3" s="255"/>
      <c r="G3" s="120"/>
    </row>
    <row r="4" customFormat="false" ht="14.9" hidden="false" customHeight="false" outlineLevel="0" collapsed="false">
      <c r="A4" s="253" t="s">
        <v>638</v>
      </c>
      <c r="B4" s="256" t="n">
        <f aca="false">design!C37</f>
        <v>12.5484311250697</v>
      </c>
      <c r="C4" s="139"/>
      <c r="D4" s="253" t="s">
        <v>639</v>
      </c>
      <c r="E4" s="254" t="n">
        <f aca="false">design!C6</f>
        <v>62.8</v>
      </c>
      <c r="F4" s="255"/>
      <c r="G4" s="120"/>
    </row>
    <row r="5" customFormat="false" ht="12.8" hidden="false" customHeight="false" outlineLevel="0" collapsed="false">
      <c r="A5" s="253" t="s">
        <v>640</v>
      </c>
      <c r="B5" s="257" t="n">
        <f aca="false">B2/B3</f>
        <v>0.02</v>
      </c>
      <c r="C5" s="139"/>
      <c r="D5" s="253" t="s">
        <v>641</v>
      </c>
      <c r="E5" s="258" t="n">
        <f aca="false">design!C13</f>
        <v>4.28052873090884</v>
      </c>
      <c r="F5" s="255"/>
      <c r="G5" s="120"/>
    </row>
    <row r="6" customFormat="false" ht="14.9" hidden="false" customHeight="false" outlineLevel="0" collapsed="false">
      <c r="A6" s="253" t="s">
        <v>642</v>
      </c>
      <c r="B6" s="257" t="n">
        <f aca="false">B5*B4</f>
        <v>0.250968622501394</v>
      </c>
      <c r="D6" s="253" t="s">
        <v>643</v>
      </c>
      <c r="E6" s="254" t="n">
        <f aca="false">design!C7</f>
        <v>56</v>
      </c>
      <c r="F6" s="255"/>
      <c r="G6" s="120"/>
    </row>
    <row r="7" customFormat="false" ht="12.8" hidden="false" customHeight="false" outlineLevel="0" collapsed="false">
      <c r="A7" s="253" t="s">
        <v>644</v>
      </c>
      <c r="B7" s="259" t="n">
        <v>20</v>
      </c>
      <c r="D7" s="253" t="s">
        <v>645</v>
      </c>
      <c r="E7" s="258" t="n">
        <f aca="false">design!C9</f>
        <v>4.46428571428571</v>
      </c>
      <c r="F7" s="255"/>
      <c r="G7" s="120"/>
    </row>
    <row r="8" customFormat="false" ht="12.8" hidden="false" customHeight="false" outlineLevel="0" collapsed="false">
      <c r="A8" s="260" t="s">
        <v>646</v>
      </c>
      <c r="B8" s="259" t="n">
        <v>0.75</v>
      </c>
      <c r="D8" s="261" t="s">
        <v>647</v>
      </c>
      <c r="E8" s="262" t="n">
        <f aca="false">E6/E7</f>
        <v>12.544</v>
      </c>
      <c r="F8" s="255"/>
      <c r="G8" s="120" t="s">
        <v>648</v>
      </c>
    </row>
    <row r="9" customFormat="false" ht="12.8" hidden="false" customHeight="false" outlineLevel="0" collapsed="false">
      <c r="A9" s="253" t="s">
        <v>649</v>
      </c>
      <c r="B9" s="263" t="n">
        <f aca="false">B6*B7</f>
        <v>5.01937245002789</v>
      </c>
      <c r="D9" s="253" t="s">
        <v>650</v>
      </c>
      <c r="E9" s="264" t="n">
        <f aca="false">design!C28</f>
        <v>5.8095010984456E-005</v>
      </c>
      <c r="F9" s="255"/>
      <c r="G9" s="120" t="s">
        <v>651</v>
      </c>
    </row>
    <row r="10" customFormat="false" ht="12.8" hidden="false" customHeight="false" outlineLevel="0" collapsed="false">
      <c r="A10" s="261" t="s">
        <v>652</v>
      </c>
      <c r="B10" s="265" t="n">
        <f aca="false">B9/B4</f>
        <v>0.4</v>
      </c>
      <c r="D10" s="253" t="s">
        <v>653</v>
      </c>
      <c r="E10" s="266" t="n">
        <f aca="false">design!C15</f>
        <v>150000</v>
      </c>
      <c r="F10" s="255"/>
      <c r="G10" s="120"/>
    </row>
    <row r="11" customFormat="false" ht="12.8" hidden="false" customHeight="false" outlineLevel="0" collapsed="false">
      <c r="A11" s="253" t="s">
        <v>654</v>
      </c>
      <c r="B11" s="257" t="n">
        <f aca="false">(POWER(B6,2)*B7)*design!C22</f>
        <v>0.598586208498556</v>
      </c>
      <c r="D11" s="261" t="s">
        <v>655</v>
      </c>
      <c r="E11" s="267" t="n">
        <f aca="false">design!C22</f>
        <v>0.475179675747953</v>
      </c>
      <c r="F11" s="255"/>
      <c r="G11" s="120" t="s">
        <v>656</v>
      </c>
    </row>
    <row r="12" customFormat="false" ht="12.8" hidden="false" customHeight="false" outlineLevel="0" collapsed="false">
      <c r="A12" s="260" t="s">
        <v>657</v>
      </c>
      <c r="B12" s="257" t="n">
        <f aca="false">(B6*B8)*design!C22</f>
        <v>0.0894413914973421</v>
      </c>
      <c r="D12" s="253" t="s">
        <v>658</v>
      </c>
      <c r="E12" s="268" t="n">
        <f aca="false">1/E10</f>
        <v>6.66666666666667E-006</v>
      </c>
      <c r="F12" s="255"/>
      <c r="G12" s="120"/>
    </row>
    <row r="13" customFormat="false" ht="12.8" hidden="false" customHeight="false" outlineLevel="0" collapsed="false">
      <c r="A13" s="253" t="s">
        <v>659</v>
      </c>
      <c r="B13" s="128" t="s">
        <v>660</v>
      </c>
      <c r="D13" s="253" t="s">
        <v>661</v>
      </c>
      <c r="E13" s="268" t="n">
        <f aca="false">E11*E12</f>
        <v>3.16786450498635E-006</v>
      </c>
      <c r="F13" s="255"/>
      <c r="G13" s="120"/>
    </row>
    <row r="14" customFormat="false" ht="12.8" hidden="false" customHeight="false" outlineLevel="0" collapsed="false">
      <c r="A14" s="253" t="s">
        <v>662</v>
      </c>
      <c r="B14" s="128" t="s">
        <v>663</v>
      </c>
      <c r="D14" s="253" t="s">
        <v>664</v>
      </c>
      <c r="E14" s="268" t="n">
        <f aca="false">E12-E13</f>
        <v>3.49880216168032E-006</v>
      </c>
      <c r="F14" s="255"/>
      <c r="G14" s="120"/>
    </row>
    <row r="15" customFormat="false" ht="14.9" hidden="false" customHeight="false" outlineLevel="0" collapsed="false">
      <c r="A15" s="253" t="s">
        <v>665</v>
      </c>
      <c r="B15" s="128" t="n">
        <v>7.83</v>
      </c>
      <c r="D15" s="253" t="s">
        <v>666</v>
      </c>
      <c r="E15" s="269" t="n">
        <f aca="false">((E6/E9)/POWER(10,6))</f>
        <v>0.963938194537626</v>
      </c>
      <c r="F15" s="255"/>
      <c r="G15" s="120" t="s">
        <v>667</v>
      </c>
    </row>
    <row r="16" customFormat="false" ht="14.9" hidden="false" customHeight="false" outlineLevel="0" collapsed="false">
      <c r="A16" s="253" t="s">
        <v>668</v>
      </c>
      <c r="B16" s="270" t="n">
        <v>4090</v>
      </c>
      <c r="D16" s="253" t="s">
        <v>669</v>
      </c>
      <c r="E16" s="269" t="n">
        <f aca="false">E15/2</f>
        <v>0.481969097268813</v>
      </c>
      <c r="F16" s="255"/>
      <c r="G16" s="120" t="s">
        <v>670</v>
      </c>
    </row>
    <row r="17" customFormat="false" ht="12.8" hidden="false" customHeight="false" outlineLevel="0" collapsed="false">
      <c r="A17" s="253" t="s">
        <v>671</v>
      </c>
      <c r="B17" s="271" t="n">
        <f aca="false">POWER(B3,2)*B16*POWER(10,-9)</f>
        <v>0.010225</v>
      </c>
      <c r="D17" s="253" t="s">
        <v>672</v>
      </c>
      <c r="E17" s="269" t="n">
        <f aca="false">$B$10*E15</f>
        <v>0.38557527781505</v>
      </c>
      <c r="F17" s="255"/>
      <c r="G17" s="120"/>
    </row>
    <row r="18" customFormat="false" ht="12.8" hidden="false" customHeight="false" outlineLevel="0" collapsed="false">
      <c r="A18" s="253" t="s">
        <v>673</v>
      </c>
      <c r="B18" s="271" t="n">
        <f aca="false">B9/B17</f>
        <v>490.892171151871</v>
      </c>
      <c r="D18" s="272" t="s">
        <v>674</v>
      </c>
      <c r="E18" s="273" t="n">
        <f aca="false">$B$10*E16</f>
        <v>0.192787638907525</v>
      </c>
      <c r="F18" s="255"/>
      <c r="G18" s="274" t="s">
        <v>675</v>
      </c>
    </row>
    <row r="19" customFormat="false" ht="12.8" hidden="false" customHeight="false" outlineLevel="0" collapsed="false">
      <c r="A19" s="253" t="s">
        <v>676</v>
      </c>
      <c r="B19" s="275" t="n">
        <f aca="false">design!C19</f>
        <v>5.66955828098514E-006</v>
      </c>
      <c r="D19" s="253" t="s">
        <v>677</v>
      </c>
      <c r="E19" s="269" t="n">
        <f aca="false">(E14/POWER(10,-6))*E15</f>
        <v>3.37262903877447</v>
      </c>
      <c r="F19" s="255"/>
      <c r="G19" s="120" t="s">
        <v>678</v>
      </c>
    </row>
    <row r="20" customFormat="false" ht="12.8" hidden="false" customHeight="false" outlineLevel="0" collapsed="false">
      <c r="A20" s="253" t="s">
        <v>679</v>
      </c>
      <c r="B20" s="276" t="n">
        <f aca="false">B19*B18</f>
        <v>0.00278314177402487</v>
      </c>
      <c r="D20" s="253" t="s">
        <v>680</v>
      </c>
      <c r="E20" s="269" t="n">
        <f aca="false">design!C32</f>
        <v>10.4570259375581</v>
      </c>
      <c r="F20" s="269" t="n">
        <f aca="false">$B$10*E20</f>
        <v>4.18281037502324</v>
      </c>
      <c r="G20" s="120" t="s">
        <v>681</v>
      </c>
    </row>
    <row r="21" customFormat="false" ht="12.8" hidden="false" customHeight="false" outlineLevel="0" collapsed="false">
      <c r="A21" s="253" t="s">
        <v>682</v>
      </c>
      <c r="B21" s="276" t="n">
        <f aca="false">B3*B20</f>
        <v>0.139157088701243</v>
      </c>
      <c r="D21" s="253" t="s">
        <v>683</v>
      </c>
      <c r="E21" s="269" t="n">
        <f aca="false">E20-E19</f>
        <v>7.08439689878363</v>
      </c>
      <c r="F21" s="269" t="n">
        <f aca="false">$B$10*E21</f>
        <v>2.83375875951345</v>
      </c>
      <c r="G21" s="120"/>
    </row>
    <row r="22" customFormat="false" ht="12.8" hidden="false" customHeight="false" outlineLevel="0" collapsed="false">
      <c r="A22" s="253" t="s">
        <v>684</v>
      </c>
      <c r="B22" s="276" t="n">
        <f aca="false">(B9*B19*POWER(10,6))/(B3*B15)</f>
        <v>0.0726886963969458</v>
      </c>
      <c r="D22" s="253" t="s">
        <v>685</v>
      </c>
      <c r="E22" s="269" t="n">
        <f aca="false">(E20-E21)/(E13/POWER(10,-6))</f>
        <v>1.06463803406547</v>
      </c>
      <c r="F22" s="255"/>
      <c r="G22" s="120" t="s">
        <v>686</v>
      </c>
    </row>
    <row r="23" customFormat="false" ht="12.8" hidden="false" customHeight="false" outlineLevel="0" collapsed="false">
      <c r="A23" s="253" t="s">
        <v>687</v>
      </c>
      <c r="B23" s="154" t="n">
        <v>43000</v>
      </c>
      <c r="D23" s="253" t="s">
        <v>688</v>
      </c>
      <c r="E23" s="269" t="n">
        <f aca="false">$B$10*E22</f>
        <v>0.42585521362619</v>
      </c>
      <c r="F23" s="255"/>
      <c r="G23" s="120"/>
    </row>
    <row r="24" customFormat="false" ht="12.8" hidden="false" customHeight="false" outlineLevel="0" collapsed="false">
      <c r="A24" s="253" t="s">
        <v>689</v>
      </c>
      <c r="B24" s="257" t="n">
        <f aca="false">B23*B20</f>
        <v>119.675096283069</v>
      </c>
      <c r="D24" s="261" t="s">
        <v>690</v>
      </c>
      <c r="E24" s="238" t="n">
        <v>0.2</v>
      </c>
      <c r="F24" s="255"/>
      <c r="G24" s="274" t="s">
        <v>691</v>
      </c>
    </row>
    <row r="25" customFormat="false" ht="12.8" hidden="false" customHeight="false" outlineLevel="0" collapsed="false">
      <c r="A25" s="253" t="s">
        <v>692</v>
      </c>
      <c r="B25" s="277" t="n">
        <f aca="false">3*(B17/B23)</f>
        <v>7.13372093023256E-007</v>
      </c>
      <c r="D25" s="261" t="s">
        <v>693</v>
      </c>
      <c r="E25" s="262" t="n">
        <f aca="false">(E13/POWER(10,-6))*E24</f>
        <v>0.63357290099727</v>
      </c>
      <c r="F25" s="255"/>
      <c r="G25" s="274" t="s">
        <v>694</v>
      </c>
    </row>
    <row r="26" customFormat="false" ht="12.8" hidden="false" customHeight="false" outlineLevel="0" collapsed="false">
      <c r="A26" s="253" t="s">
        <v>695</v>
      </c>
      <c r="B26" s="277" t="n">
        <f aca="false">design!C16-design!C19</f>
        <v>9.97108385681524E-007</v>
      </c>
      <c r="D26" s="261" t="s">
        <v>696</v>
      </c>
      <c r="E26" s="238" t="n">
        <v>5</v>
      </c>
      <c r="F26" s="255"/>
      <c r="G26" s="120" t="s">
        <v>697</v>
      </c>
    </row>
    <row r="27" customFormat="false" ht="12.8" hidden="false" customHeight="false" outlineLevel="0" collapsed="false">
      <c r="A27" s="253" t="s">
        <v>698</v>
      </c>
      <c r="B27" s="277" t="n">
        <f aca="false">B26-B25</f>
        <v>2.83736292658268E-007</v>
      </c>
      <c r="D27" s="261" t="s">
        <v>699</v>
      </c>
      <c r="E27" s="262" t="n">
        <f aca="false">E26-E25</f>
        <v>4.36642709900273</v>
      </c>
      <c r="F27" s="255"/>
      <c r="G27" s="274" t="s">
        <v>700</v>
      </c>
    </row>
    <row r="28" customFormat="false" ht="12.8" hidden="false" customHeight="false" outlineLevel="0" collapsed="false">
      <c r="A28" s="278" t="s">
        <v>654</v>
      </c>
      <c r="B28" s="279" t="n">
        <f aca="false">(POWER(B20,2)*B23)*(B25/design!C16)</f>
        <v>0.0356407217655504</v>
      </c>
      <c r="D28" s="261" t="s">
        <v>701</v>
      </c>
      <c r="E28" s="280" t="n">
        <f aca="false">(B10*E6)/(E27*2*PI()*E9)</f>
        <v>14054.101902288</v>
      </c>
      <c r="G28" s="120" t="s">
        <v>702</v>
      </c>
    </row>
    <row r="29" customFormat="false" ht="12.8" hidden="false" customHeight="false" outlineLevel="0" collapsed="false">
      <c r="D29" s="272" t="s">
        <v>703</v>
      </c>
      <c r="E29" s="281" t="n">
        <f aca="false">20*LOG10(E28)</f>
        <v>82.9560619631629</v>
      </c>
      <c r="G29" s="120" t="s">
        <v>702</v>
      </c>
    </row>
    <row r="30" customFormat="false" ht="12.8" hidden="false" customHeight="false" outlineLevel="0" collapsed="false">
      <c r="D30" s="272" t="s">
        <v>704</v>
      </c>
      <c r="E30" s="281" t="n">
        <f aca="false">E6/(design!C14*2*PI()*E9)</f>
        <v>17543.6002052674</v>
      </c>
      <c r="G30" s="120" t="s">
        <v>705</v>
      </c>
    </row>
    <row r="31" customFormat="false" ht="12.8" hidden="false" customHeight="false" outlineLevel="0" collapsed="false">
      <c r="D31" s="272" t="s">
        <v>706</v>
      </c>
      <c r="E31" s="281" t="n">
        <f aca="false">20*LOG10((design!C14*B10)/E27)</f>
        <v>-1.92631247289781</v>
      </c>
      <c r="G31" s="120" t="s">
        <v>707</v>
      </c>
    </row>
    <row r="32" customFormat="false" ht="91" hidden="false" customHeight="false" outlineLevel="0" collapsed="false">
      <c r="D32" s="282"/>
      <c r="E32" s="283"/>
      <c r="F32" s="283"/>
      <c r="G32" s="284" t="s">
        <v>708</v>
      </c>
    </row>
  </sheetData>
  <mergeCells count="3">
    <mergeCell ref="A1:B1"/>
    <mergeCell ref="D1:G1"/>
    <mergeCell ref="E2:F2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2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6" width="14.45"/>
    <col collapsed="false" customWidth="true" hidden="false" outlineLevel="0" max="2" min="2" style="86" width="50.51"/>
    <col collapsed="false" customWidth="true" hidden="false" outlineLevel="0" max="3" min="3" style="86" width="23.28"/>
    <col collapsed="false" customWidth="true" hidden="false" outlineLevel="0" max="4" min="4" style="86" width="13.33"/>
    <col collapsed="false" customWidth="true" hidden="false" outlineLevel="0" max="5" min="5" style="86" width="13.7"/>
    <col collapsed="false" customWidth="true" hidden="false" outlineLevel="0" max="10" min="6" style="86" width="14.45"/>
    <col collapsed="false" customWidth="true" hidden="false" outlineLevel="0" max="11" min="11" style="86" width="22.27"/>
    <col collapsed="false" customWidth="true" hidden="false" outlineLevel="0" max="64" min="12" style="86" width="14.45"/>
  </cols>
  <sheetData>
    <row r="1" customFormat="false" ht="12.8" hidden="false" customHeight="false" outlineLevel="0" collapsed="false">
      <c r="A1" s="285"/>
      <c r="B1" s="286" t="s">
        <v>709</v>
      </c>
      <c r="C1" s="286" t="s">
        <v>5</v>
      </c>
      <c r="D1" s="287" t="s">
        <v>6</v>
      </c>
      <c r="E1" s="287"/>
      <c r="F1" s="287"/>
      <c r="G1" s="287"/>
      <c r="H1" s="287"/>
    </row>
    <row r="2" customFormat="false" ht="16" hidden="false" customHeight="true" outlineLevel="0" collapsed="false">
      <c r="A2" s="288" t="s">
        <v>710</v>
      </c>
      <c r="B2" s="289" t="s">
        <v>711</v>
      </c>
      <c r="C2" s="290" t="n">
        <v>30</v>
      </c>
      <c r="D2" s="291"/>
      <c r="E2" s="292"/>
      <c r="F2" s="292"/>
      <c r="G2" s="292"/>
      <c r="H2" s="292"/>
    </row>
    <row r="3" customFormat="false" ht="12.8" hidden="false" customHeight="false" outlineLevel="0" collapsed="false">
      <c r="A3" s="288"/>
      <c r="B3" s="293" t="s">
        <v>712</v>
      </c>
      <c r="C3" s="294" t="n">
        <v>50</v>
      </c>
      <c r="D3" s="295"/>
      <c r="E3" s="292"/>
      <c r="F3" s="292"/>
      <c r="G3" s="292"/>
      <c r="H3" s="292"/>
      <c r="L3" s="139"/>
    </row>
    <row r="4" customFormat="false" ht="12.8" hidden="false" customHeight="false" outlineLevel="0" collapsed="false">
      <c r="A4" s="288"/>
      <c r="B4" s="293" t="s">
        <v>713</v>
      </c>
      <c r="C4" s="294" t="n">
        <v>1</v>
      </c>
      <c r="D4" s="295"/>
      <c r="E4" s="292"/>
      <c r="F4" s="292"/>
      <c r="G4" s="292"/>
      <c r="H4" s="292"/>
      <c r="L4" s="139"/>
    </row>
    <row r="5" customFormat="false" ht="12.8" hidden="false" customHeight="false" outlineLevel="0" collapsed="false">
      <c r="A5" s="288"/>
      <c r="B5" s="293" t="s">
        <v>714</v>
      </c>
      <c r="C5" s="296" t="n">
        <v>0</v>
      </c>
      <c r="D5" s="295"/>
      <c r="E5" s="292"/>
      <c r="F5" s="292"/>
      <c r="G5" s="292"/>
      <c r="H5" s="292"/>
      <c r="L5" s="139"/>
    </row>
    <row r="6" customFormat="false" ht="12.8" hidden="false" customHeight="false" outlineLevel="0" collapsed="false">
      <c r="A6" s="288"/>
      <c r="B6" s="293" t="s">
        <v>715</v>
      </c>
      <c r="C6" s="297" t="n">
        <f aca="false">VLOOKUP(C2,wireawg!$A$5:$L$44,8,0)</f>
        <v>0.000509</v>
      </c>
      <c r="D6" s="298"/>
      <c r="E6" s="292"/>
      <c r="F6" s="292"/>
      <c r="G6" s="292"/>
      <c r="H6" s="292"/>
    </row>
    <row r="7" customFormat="false" ht="12.8" hidden="false" customHeight="false" outlineLevel="0" collapsed="false">
      <c r="A7" s="288"/>
      <c r="B7" s="293" t="s">
        <v>716</v>
      </c>
      <c r="C7" s="299" t="n">
        <f aca="false">VLOOKUP(C2,wireawg!$A$5:$L$44,11,0)</f>
        <v>3386</v>
      </c>
      <c r="D7" s="298"/>
      <c r="E7" s="292"/>
      <c r="F7" s="292"/>
      <c r="G7" s="292"/>
      <c r="H7" s="292"/>
    </row>
    <row r="8" customFormat="false" ht="12.8" hidden="false" customHeight="false" outlineLevel="0" collapsed="false">
      <c r="A8" s="288"/>
      <c r="B8" s="300" t="s">
        <v>717</v>
      </c>
      <c r="C8" s="301" t="n">
        <f aca="false">VLOOKUP(C2,wireawg!$A$5:$L$44,4,0)</f>
        <v>0.302</v>
      </c>
      <c r="D8" s="302"/>
      <c r="E8" s="292"/>
      <c r="F8" s="292"/>
      <c r="G8" s="292"/>
      <c r="H8" s="292"/>
    </row>
    <row r="9" customFormat="false" ht="12.8" hidden="false" customHeight="false" outlineLevel="0" collapsed="false">
      <c r="A9" s="288"/>
      <c r="B9" s="303" t="s">
        <v>718</v>
      </c>
      <c r="C9" s="304" t="s">
        <v>719</v>
      </c>
      <c r="D9" s="305"/>
      <c r="E9" s="292"/>
      <c r="F9" s="292"/>
      <c r="G9" s="292"/>
      <c r="H9" s="292"/>
    </row>
    <row r="10" customFormat="false" ht="12.8" hidden="false" customHeight="false" outlineLevel="0" collapsed="false">
      <c r="A10" s="288"/>
      <c r="B10" s="293" t="s">
        <v>720</v>
      </c>
      <c r="C10" s="306" t="s">
        <v>721</v>
      </c>
      <c r="D10" s="298"/>
      <c r="E10" s="292"/>
      <c r="F10" s="292"/>
      <c r="G10" s="292"/>
      <c r="H10" s="292"/>
    </row>
    <row r="11" customFormat="false" ht="12.8" hidden="false" customHeight="false" outlineLevel="0" collapsed="false">
      <c r="A11" s="288"/>
      <c r="B11" s="293" t="s">
        <v>722</v>
      </c>
      <c r="C11" s="307" t="n">
        <f aca="false">10.8/10</f>
        <v>1.08</v>
      </c>
      <c r="D11" s="308" t="n">
        <f aca="false">C11+(C5*2)</f>
        <v>1.08</v>
      </c>
      <c r="E11" s="292"/>
      <c r="F11" s="292"/>
      <c r="G11" s="292"/>
      <c r="H11" s="292"/>
    </row>
    <row r="12" customFormat="false" ht="12.8" hidden="false" customHeight="false" outlineLevel="0" collapsed="false">
      <c r="A12" s="288"/>
      <c r="B12" s="293" t="s">
        <v>723</v>
      </c>
      <c r="C12" s="307" t="n">
        <f aca="false">5.25/10</f>
        <v>0.525</v>
      </c>
      <c r="D12" s="309" t="n">
        <f aca="false">C12-(C5*2)</f>
        <v>0.525</v>
      </c>
      <c r="E12" s="292"/>
      <c r="F12" s="292"/>
      <c r="G12" s="292"/>
      <c r="H12" s="292"/>
    </row>
    <row r="13" customFormat="false" ht="12.8" hidden="false" customHeight="false" outlineLevel="0" collapsed="false">
      <c r="A13" s="288"/>
      <c r="B13" s="293" t="s">
        <v>724</v>
      </c>
      <c r="C13" s="307" t="n">
        <f aca="false">4.75/10</f>
        <v>0.475</v>
      </c>
      <c r="D13" s="309" t="n">
        <f aca="false">C13+(C5*2)</f>
        <v>0.475</v>
      </c>
      <c r="E13" s="292"/>
      <c r="F13" s="292"/>
      <c r="G13" s="292"/>
      <c r="H13" s="292"/>
    </row>
    <row r="14" customFormat="false" ht="14.9" hidden="false" customHeight="false" outlineLevel="0" collapsed="false">
      <c r="A14" s="288"/>
      <c r="B14" s="293" t="s">
        <v>725</v>
      </c>
      <c r="C14" s="310" t="n">
        <v>4090</v>
      </c>
      <c r="D14" s="309"/>
      <c r="E14" s="292"/>
      <c r="F14" s="292"/>
      <c r="G14" s="292"/>
      <c r="H14" s="292"/>
    </row>
    <row r="15" customFormat="false" ht="12.8" hidden="false" customHeight="false" outlineLevel="0" collapsed="false">
      <c r="A15" s="288"/>
      <c r="B15" s="300" t="s">
        <v>726</v>
      </c>
      <c r="C15" s="311" t="n">
        <v>0.25</v>
      </c>
      <c r="D15" s="312"/>
      <c r="E15" s="292"/>
      <c r="F15" s="292"/>
      <c r="G15" s="292"/>
      <c r="H15" s="292"/>
    </row>
    <row r="16" customFormat="false" ht="12.8" hidden="false" customHeight="false" outlineLevel="0" collapsed="false">
      <c r="A16" s="288"/>
      <c r="B16" s="313" t="str">
        <f aca="false">"Design inductance, -"&amp;TEXT(C15,"#%")&amp;", H ="</f>
        <v>Design inductance, -25%, H =</v>
      </c>
      <c r="C16" s="314" t="n">
        <f aca="false">((C14*(1-C15))*POWER(10,-9))*POWER(C3,2)</f>
        <v>0.00766875</v>
      </c>
      <c r="D16" s="315"/>
      <c r="E16" s="292"/>
      <c r="F16" s="292"/>
      <c r="G16" s="292"/>
      <c r="H16" s="292"/>
    </row>
    <row r="17" customFormat="false" ht="12.8" hidden="false" customHeight="false" outlineLevel="0" collapsed="false">
      <c r="A17" s="288"/>
      <c r="B17" s="293" t="s">
        <v>727</v>
      </c>
      <c r="C17" s="316" t="n">
        <f aca="false">PI()*D12</f>
        <v>1.64933614313464</v>
      </c>
      <c r="D17" s="298"/>
      <c r="E17" s="292"/>
      <c r="F17" s="292"/>
      <c r="G17" s="292"/>
      <c r="H17" s="292"/>
    </row>
    <row r="18" customFormat="false" ht="12.8" hidden="false" customHeight="false" outlineLevel="0" collapsed="false">
      <c r="A18" s="288"/>
      <c r="B18" s="317" t="str">
        <f aca="false">"Turns possible with "&amp;TEXT(C4,"#")&amp;" strands of "&amp;TEXT(C2,"#")&amp;" AWG ="</f>
        <v>Turns possible with 1 strands of 30 AWG =</v>
      </c>
      <c r="C18" s="316" t="n">
        <f aca="false">C17/((C8*C4)/10)</f>
        <v>54.6137795739948</v>
      </c>
      <c r="D18" s="298"/>
      <c r="E18" s="292"/>
      <c r="F18" s="292"/>
      <c r="G18" s="292"/>
      <c r="H18" s="292"/>
    </row>
    <row r="19" customFormat="false" ht="12.8" hidden="false" customHeight="false" outlineLevel="0" collapsed="false">
      <c r="A19" s="288"/>
      <c r="B19" s="293" t="s">
        <v>728</v>
      </c>
      <c r="C19" s="318" t="n">
        <f aca="false">(D11-D12)+2*D13</f>
        <v>1.505</v>
      </c>
      <c r="D19" s="298"/>
      <c r="E19" s="292"/>
      <c r="F19" s="292"/>
      <c r="G19" s="292"/>
      <c r="H19" s="292"/>
    </row>
    <row r="20" customFormat="false" ht="12.8" hidden="false" customHeight="false" outlineLevel="0" collapsed="false">
      <c r="A20" s="288"/>
      <c r="B20" s="293" t="s">
        <v>729</v>
      </c>
      <c r="C20" s="319" t="n">
        <f aca="false">(C4*C8)/10</f>
        <v>0.0302</v>
      </c>
      <c r="D20" s="295"/>
      <c r="E20" s="292"/>
      <c r="F20" s="292"/>
      <c r="G20" s="292"/>
      <c r="H20" s="292"/>
    </row>
    <row r="21" customFormat="false" ht="12.8" hidden="false" customHeight="false" outlineLevel="0" collapsed="false">
      <c r="A21" s="288"/>
      <c r="B21" s="317" t="str">
        <f aca="false">"Estimated wire len per strand using "&amp;TEXT(C2,"#")&amp;" AWG, cm ="</f>
        <v>Estimated wire len per strand using 30 AWG, cm =</v>
      </c>
      <c r="C21" s="318" t="n">
        <f aca="false">C19*C3</f>
        <v>75.25</v>
      </c>
      <c r="D21" s="298"/>
      <c r="E21" s="292"/>
      <c r="F21" s="292"/>
      <c r="G21" s="292"/>
      <c r="H21" s="292"/>
    </row>
    <row r="22" customFormat="false" ht="12.8" hidden="false" customHeight="false" outlineLevel="0" collapsed="false">
      <c r="A22" s="288"/>
      <c r="B22" s="320" t="s">
        <v>730</v>
      </c>
      <c r="C22" s="321" t="n">
        <f aca="false">(E24*C7*POWER(10,-6))/C4</f>
        <v>0.2547965</v>
      </c>
      <c r="D22" s="322"/>
      <c r="E22" s="292"/>
      <c r="F22" s="292"/>
      <c r="G22" s="292"/>
      <c r="H22" s="292"/>
    </row>
    <row r="23" customFormat="false" ht="16" hidden="false" customHeight="true" outlineLevel="0" collapsed="false">
      <c r="A23" s="323" t="s">
        <v>731</v>
      </c>
      <c r="B23" s="324"/>
      <c r="C23" s="325"/>
      <c r="D23" s="326" t="s">
        <v>732</v>
      </c>
      <c r="E23" s="327" t="s">
        <v>733</v>
      </c>
      <c r="F23" s="325"/>
      <c r="G23" s="325"/>
      <c r="H23" s="328"/>
    </row>
    <row r="24" customFormat="false" ht="12.8" hidden="false" customHeight="false" outlineLevel="0" collapsed="false">
      <c r="A24" s="323"/>
      <c r="B24" s="329"/>
      <c r="C24" s="330"/>
      <c r="D24" s="331" t="n">
        <f aca="false">SUM(D25:D41)</f>
        <v>50</v>
      </c>
      <c r="E24" s="331" t="n">
        <f aca="false">SUM(E25:E41)</f>
        <v>75.25</v>
      </c>
      <c r="F24" s="325"/>
      <c r="G24" s="325"/>
      <c r="H24" s="328"/>
    </row>
    <row r="25" customFormat="false" ht="12.8" hidden="false" customHeight="false" outlineLevel="0" collapsed="false">
      <c r="A25" s="323"/>
      <c r="B25" s="332" t="s">
        <v>734</v>
      </c>
      <c r="C25" s="333" t="n">
        <f aca="false">C19</f>
        <v>1.505</v>
      </c>
      <c r="D25" s="331"/>
      <c r="E25" s="334"/>
      <c r="F25" s="325"/>
      <c r="G25" s="325"/>
      <c r="H25" s="328"/>
    </row>
    <row r="26" customFormat="false" ht="12.8" hidden="false" customHeight="false" outlineLevel="0" collapsed="false">
      <c r="A26" s="323"/>
      <c r="B26" s="335" t="s">
        <v>735</v>
      </c>
      <c r="C26" s="333" t="n">
        <f aca="false">D12</f>
        <v>0.525</v>
      </c>
      <c r="D26" s="331"/>
      <c r="E26" s="334"/>
      <c r="F26" s="325"/>
      <c r="G26" s="325"/>
      <c r="H26" s="328"/>
    </row>
    <row r="27" customFormat="false" ht="12.8" hidden="false" customHeight="false" outlineLevel="0" collapsed="false">
      <c r="A27" s="323"/>
      <c r="B27" s="332" t="s">
        <v>736</v>
      </c>
      <c r="C27" s="333" t="n">
        <f aca="false">C26/2</f>
        <v>0.2625</v>
      </c>
      <c r="D27" s="331"/>
      <c r="E27" s="334"/>
      <c r="F27" s="325"/>
      <c r="G27" s="325"/>
      <c r="H27" s="328"/>
    </row>
    <row r="28" customFormat="false" ht="12.8" hidden="false" customHeight="false" outlineLevel="0" collapsed="false">
      <c r="A28" s="323"/>
      <c r="B28" s="336" t="s">
        <v>737</v>
      </c>
      <c r="C28" s="333" t="n">
        <f aca="false">PI()*2*C27</f>
        <v>1.64933614313464</v>
      </c>
      <c r="D28" s="331"/>
      <c r="E28" s="334"/>
      <c r="F28" s="325"/>
      <c r="G28" s="325"/>
      <c r="H28" s="328"/>
    </row>
    <row r="29" customFormat="false" ht="12.8" hidden="false" customHeight="false" outlineLevel="0" collapsed="false">
      <c r="A29" s="323"/>
      <c r="B29" s="337" t="s">
        <v>738</v>
      </c>
      <c r="C29" s="338" t="n">
        <f aca="false">ROUNDDOWN(C28/C20,0)</f>
        <v>54</v>
      </c>
      <c r="D29" s="339" t="n">
        <f aca="false">ROUNDDOWN(IF(C29&lt;C3,C29,C3),0)</f>
        <v>50</v>
      </c>
      <c r="E29" s="340" t="n">
        <f aca="false">C25*D29</f>
        <v>75.25</v>
      </c>
      <c r="F29" s="325"/>
      <c r="G29" s="341"/>
      <c r="H29" s="328"/>
    </row>
    <row r="30" customFormat="false" ht="12.8" hidden="false" customHeight="false" outlineLevel="0" collapsed="false">
      <c r="A30" s="323"/>
      <c r="B30" s="335" t="s">
        <v>739</v>
      </c>
      <c r="C30" s="330" t="n">
        <f aca="false">C25+((C8/10)*4)</f>
        <v>1.6258</v>
      </c>
      <c r="D30" s="331"/>
      <c r="E30" s="334"/>
      <c r="F30" s="325"/>
      <c r="G30" s="325"/>
      <c r="H30" s="328"/>
    </row>
    <row r="31" customFormat="false" ht="12.8" hidden="false" customHeight="false" outlineLevel="0" collapsed="false">
      <c r="A31" s="323"/>
      <c r="B31" s="335" t="s">
        <v>740</v>
      </c>
      <c r="C31" s="330" t="n">
        <f aca="false">C27-(C8/10)</f>
        <v>0.2323</v>
      </c>
      <c r="D31" s="331"/>
      <c r="E31" s="334"/>
      <c r="F31" s="325"/>
      <c r="G31" s="325"/>
      <c r="H31" s="328"/>
    </row>
    <row r="32" customFormat="false" ht="12.8" hidden="false" customHeight="false" outlineLevel="0" collapsed="false">
      <c r="A32" s="323"/>
      <c r="B32" s="336" t="s">
        <v>741</v>
      </c>
      <c r="C32" s="330" t="n">
        <f aca="false">2*PI()*C31</f>
        <v>1.45958394685782</v>
      </c>
      <c r="D32" s="331"/>
      <c r="E32" s="334"/>
      <c r="F32" s="325"/>
      <c r="G32" s="325"/>
      <c r="H32" s="328"/>
    </row>
    <row r="33" customFormat="false" ht="12.8" hidden="false" customHeight="false" outlineLevel="0" collapsed="false">
      <c r="A33" s="323"/>
      <c r="B33" s="337" t="s">
        <v>742</v>
      </c>
      <c r="C33" s="338" t="n">
        <f aca="false">ROUNDDOWN(C32/C20,0)</f>
        <v>48</v>
      </c>
      <c r="D33" s="339" t="n">
        <f aca="false">ROUNDDOWN(IF(IF((C29+C33)&lt;C3,C33,C3-C29)&gt;0,IF((C29+C33)&lt;C3,C33,C3-C29),0),0)</f>
        <v>0</v>
      </c>
      <c r="E33" s="340" t="n">
        <f aca="false">C30*D33</f>
        <v>0</v>
      </c>
      <c r="F33" s="325"/>
      <c r="G33" s="341"/>
      <c r="H33" s="328"/>
    </row>
    <row r="34" customFormat="false" ht="12.8" hidden="false" customHeight="false" outlineLevel="0" collapsed="false">
      <c r="A34" s="323"/>
      <c r="B34" s="335" t="s">
        <v>743</v>
      </c>
      <c r="C34" s="330" t="n">
        <f aca="false">C30+((C8/10)*4)</f>
        <v>1.7466</v>
      </c>
      <c r="D34" s="331"/>
      <c r="E34" s="334"/>
      <c r="F34" s="325"/>
      <c r="G34" s="325"/>
      <c r="H34" s="328"/>
    </row>
    <row r="35" customFormat="false" ht="12.8" hidden="false" customHeight="false" outlineLevel="0" collapsed="false">
      <c r="A35" s="323"/>
      <c r="B35" s="335" t="s">
        <v>744</v>
      </c>
      <c r="C35" s="333" t="n">
        <f aca="false">C31-(C8/10)</f>
        <v>0.2021</v>
      </c>
      <c r="D35" s="331"/>
      <c r="E35" s="334"/>
      <c r="F35" s="325"/>
      <c r="G35" s="325"/>
      <c r="H35" s="328"/>
    </row>
    <row r="36" customFormat="false" ht="12.8" hidden="false" customHeight="false" outlineLevel="0" collapsed="false">
      <c r="A36" s="323"/>
      <c r="B36" s="336" t="s">
        <v>745</v>
      </c>
      <c r="C36" s="333" t="n">
        <f aca="false">2*PI()*C35</f>
        <v>1.26983175058099</v>
      </c>
      <c r="D36" s="331"/>
      <c r="E36" s="334"/>
      <c r="F36" s="325"/>
      <c r="G36" s="325"/>
      <c r="H36" s="328"/>
    </row>
    <row r="37" customFormat="false" ht="12.8" hidden="false" customHeight="false" outlineLevel="0" collapsed="false">
      <c r="A37" s="323"/>
      <c r="B37" s="337" t="s">
        <v>746</v>
      </c>
      <c r="C37" s="342" t="n">
        <f aca="false">ROUNDDOWN(C36/C20,0)</f>
        <v>42</v>
      </c>
      <c r="D37" s="339" t="n">
        <f aca="false">ROUNDDOWN(IF(IF((C29+C33+C37)&lt;C3,C37,C3-(C29+C33))&gt;0,IF((C29+C33+C37)&lt;C3,C37,C3-(C29+C33)),0),0)</f>
        <v>0</v>
      </c>
      <c r="E37" s="340" t="n">
        <f aca="false">C34*D37</f>
        <v>0</v>
      </c>
      <c r="F37" s="325"/>
      <c r="G37" s="341"/>
      <c r="H37" s="328"/>
    </row>
    <row r="38" customFormat="false" ht="12.8" hidden="false" customHeight="false" outlineLevel="0" collapsed="false">
      <c r="A38" s="323"/>
      <c r="B38" s="335" t="s">
        <v>747</v>
      </c>
      <c r="C38" s="330" t="n">
        <f aca="false">C34+((C8/10)*4)</f>
        <v>1.8674</v>
      </c>
      <c r="D38" s="331"/>
      <c r="E38" s="334"/>
      <c r="F38" s="325"/>
      <c r="G38" s="325"/>
      <c r="H38" s="328"/>
    </row>
    <row r="39" customFormat="false" ht="12.8" hidden="false" customHeight="false" outlineLevel="0" collapsed="false">
      <c r="A39" s="323"/>
      <c r="B39" s="335" t="s">
        <v>748</v>
      </c>
      <c r="C39" s="333" t="n">
        <f aca="false">C35-(C8/10)</f>
        <v>0.1719</v>
      </c>
      <c r="D39" s="331"/>
      <c r="E39" s="334"/>
      <c r="F39" s="325"/>
      <c r="G39" s="325"/>
      <c r="H39" s="328"/>
    </row>
    <row r="40" customFormat="false" ht="12.8" hidden="false" customHeight="false" outlineLevel="0" collapsed="false">
      <c r="A40" s="323"/>
      <c r="B40" s="336" t="s">
        <v>749</v>
      </c>
      <c r="C40" s="333" t="n">
        <f aca="false">2*PI()*C39</f>
        <v>1.08007955430417</v>
      </c>
      <c r="D40" s="331"/>
      <c r="E40" s="334"/>
      <c r="F40" s="325"/>
      <c r="G40" s="325"/>
      <c r="H40" s="328"/>
    </row>
    <row r="41" customFormat="false" ht="12.8" hidden="false" customHeight="false" outlineLevel="0" collapsed="false">
      <c r="A41" s="323"/>
      <c r="B41" s="337" t="s">
        <v>750</v>
      </c>
      <c r="C41" s="342" t="n">
        <f aca="false">ROUNDDOWN(C40/C20,0)</f>
        <v>35</v>
      </c>
      <c r="D41" s="339" t="n">
        <f aca="false">ROUNDDOWN(IF(IF((C29+C33+C37+C41)&lt;C3,C41,C3-(C29+C33+C37))&gt;0,IF((C29+C33+C37+C41)&lt;C3,C41,C3-(C29+C33+C37)),0),0)</f>
        <v>0</v>
      </c>
      <c r="E41" s="340" t="n">
        <f aca="false">C38*D41</f>
        <v>0</v>
      </c>
      <c r="F41" s="325"/>
      <c r="G41" s="341"/>
      <c r="H41" s="328"/>
    </row>
    <row r="42" customFormat="false" ht="12.8" hidden="false" customHeight="false" outlineLevel="0" collapsed="false">
      <c r="A42" s="343"/>
      <c r="B42" s="344"/>
      <c r="C42" s="345"/>
      <c r="D42" s="344"/>
      <c r="E42" s="344"/>
      <c r="F42" s="344"/>
      <c r="G42" s="344"/>
      <c r="H42" s="346"/>
    </row>
  </sheetData>
  <mergeCells count="4">
    <mergeCell ref="D1:H1"/>
    <mergeCell ref="A2:A22"/>
    <mergeCell ref="E2:H22"/>
    <mergeCell ref="A23:A4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6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2" activeCellId="0" sqref="A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86" width="57.62"/>
    <col collapsed="false" customWidth="true" hidden="false" outlineLevel="0" max="4" min="2" style="86" width="14.45"/>
    <col collapsed="false" customWidth="false" hidden="false" outlineLevel="0" max="5" min="5" style="86" width="11.52"/>
    <col collapsed="false" customWidth="true" hidden="false" outlineLevel="0" max="6" min="6" style="86" width="15.84"/>
    <col collapsed="false" customWidth="true" hidden="false" outlineLevel="0" max="64" min="7" style="86" width="14.45"/>
  </cols>
  <sheetData>
    <row r="1" customFormat="false" ht="12.8" hidden="false" customHeight="false" outlineLevel="0" collapsed="false">
      <c r="A1" s="104" t="s">
        <v>751</v>
      </c>
      <c r="B1" s="104"/>
      <c r="C1" s="104"/>
      <c r="D1" s="104"/>
      <c r="E1" s="104"/>
      <c r="F1" s="230"/>
    </row>
    <row r="3" customFormat="false" ht="12.8" hidden="false" customHeight="false" outlineLevel="0" collapsed="false">
      <c r="A3" s="347" t="s">
        <v>752</v>
      </c>
      <c r="B3" s="348" t="s">
        <v>753</v>
      </c>
      <c r="C3" s="349" t="s">
        <v>754</v>
      </c>
      <c r="E3" s="0"/>
      <c r="F3" s="0"/>
    </row>
    <row r="4" customFormat="false" ht="12.8" hidden="false" customHeight="false" outlineLevel="0" collapsed="false">
      <c r="A4" s="350" t="s">
        <v>755</v>
      </c>
      <c r="B4" s="351" t="n">
        <v>1</v>
      </c>
      <c r="C4" s="352" t="n">
        <f aca="false">v_slope!E29</f>
        <v>82.9560619631629</v>
      </c>
      <c r="E4" s="0"/>
      <c r="F4" s="0"/>
    </row>
    <row r="5" customFormat="false" ht="12.8" hidden="false" customHeight="false" outlineLevel="0" collapsed="false">
      <c r="A5" s="350" t="s">
        <v>756</v>
      </c>
      <c r="B5" s="351" t="n">
        <f aca="false">B4*10</f>
        <v>10</v>
      </c>
      <c r="C5" s="352" t="n">
        <f aca="false">C4-(20*LOG10(B5/B4))</f>
        <v>62.9560619631629</v>
      </c>
      <c r="E5" s="0"/>
      <c r="F5" s="0"/>
    </row>
    <row r="6" customFormat="false" ht="12.8" hidden="false" customHeight="false" outlineLevel="0" collapsed="false">
      <c r="A6" s="350" t="s">
        <v>756</v>
      </c>
      <c r="B6" s="351" t="n">
        <f aca="false">B5*10</f>
        <v>100</v>
      </c>
      <c r="C6" s="352" t="n">
        <f aca="false">C5-(20*LOG10(B6/B5))</f>
        <v>42.9560619631629</v>
      </c>
      <c r="E6" s="0"/>
      <c r="F6" s="0"/>
    </row>
    <row r="7" customFormat="false" ht="12.8" hidden="false" customHeight="false" outlineLevel="0" collapsed="false">
      <c r="A7" s="350" t="s">
        <v>756</v>
      </c>
      <c r="B7" s="351" t="n">
        <f aca="false">B6*10</f>
        <v>1000</v>
      </c>
      <c r="C7" s="352" t="n">
        <f aca="false">C6-(20*LOG10(B7/B6))</f>
        <v>22.9560619631629</v>
      </c>
      <c r="E7" s="0"/>
      <c r="F7" s="0"/>
    </row>
    <row r="8" customFormat="false" ht="12.8" hidden="false" customHeight="false" outlineLevel="0" collapsed="false">
      <c r="A8" s="353" t="s">
        <v>757</v>
      </c>
      <c r="B8" s="354" t="n">
        <v>8000</v>
      </c>
      <c r="C8" s="352" t="n">
        <f aca="false">C7-(20*LOG10(B8/B7))</f>
        <v>4.89426222332405</v>
      </c>
      <c r="E8" s="0"/>
      <c r="F8" s="0"/>
    </row>
    <row r="9" customFormat="false" ht="12.8" hidden="false" customHeight="false" outlineLevel="0" collapsed="false">
      <c r="A9" s="350" t="s">
        <v>756</v>
      </c>
      <c r="B9" s="351" t="n">
        <f aca="false">B7*10</f>
        <v>10000</v>
      </c>
      <c r="C9" s="352" t="n">
        <f aca="false">C8-(20*LOG10(B9/B8))</f>
        <v>2.95606196316292</v>
      </c>
      <c r="E9" s="0"/>
      <c r="F9" s="0"/>
    </row>
    <row r="10" customFormat="false" ht="12.8" hidden="false" customHeight="false" outlineLevel="0" collapsed="false">
      <c r="A10" s="350" t="s">
        <v>758</v>
      </c>
      <c r="B10" s="351" t="n">
        <f aca="false">v_slope!E30</f>
        <v>17543.6002052674</v>
      </c>
      <c r="C10" s="352" t="n">
        <f aca="false">C9-(20*LOG10(B10/B9))</f>
        <v>-1.92631247289781</v>
      </c>
      <c r="E10" s="0"/>
      <c r="F10" s="0"/>
    </row>
    <row r="11" customFormat="false" ht="12.8" hidden="false" customHeight="false" outlineLevel="0" collapsed="false">
      <c r="A11" s="350" t="s">
        <v>756</v>
      </c>
      <c r="B11" s="351" t="n">
        <f aca="false">B9*10</f>
        <v>100000</v>
      </c>
      <c r="C11" s="352" t="n">
        <f aca="false">C10</f>
        <v>-1.92631247289781</v>
      </c>
      <c r="E11" s="0"/>
      <c r="F11" s="0"/>
    </row>
    <row r="12" customFormat="false" ht="12.8" hidden="false" customHeight="false" outlineLevel="0" collapsed="false">
      <c r="A12" s="355" t="s">
        <v>759</v>
      </c>
      <c r="B12" s="356" t="n">
        <f aca="false">design!C15</f>
        <v>150000</v>
      </c>
      <c r="C12" s="357" t="n">
        <f aca="false">C11</f>
        <v>-1.92631247289781</v>
      </c>
      <c r="E12" s="0"/>
      <c r="F12" s="0"/>
    </row>
    <row r="13" customFormat="false" ht="12.8" hidden="false" customHeight="false" outlineLevel="0" collapsed="false">
      <c r="E13" s="0"/>
      <c r="F13" s="0"/>
    </row>
    <row r="14" customFormat="false" ht="12.8" hidden="false" customHeight="false" outlineLevel="0" collapsed="false">
      <c r="A14" s="347" t="s">
        <v>760</v>
      </c>
      <c r="B14" s="348" t="s">
        <v>5</v>
      </c>
      <c r="C14" s="349" t="s">
        <v>635</v>
      </c>
      <c r="D14" s="349"/>
      <c r="E14" s="349"/>
      <c r="F14" s="0"/>
    </row>
    <row r="15" customFormat="false" ht="12.8" hidden="false" customHeight="false" outlineLevel="0" collapsed="false">
      <c r="A15" s="350" t="s">
        <v>761</v>
      </c>
      <c r="B15" s="358" t="n">
        <v>1000</v>
      </c>
      <c r="C15" s="359" t="s">
        <v>762</v>
      </c>
      <c r="D15" s="359"/>
      <c r="E15" s="359"/>
      <c r="F15" s="0"/>
    </row>
    <row r="16" customFormat="false" ht="12.8" hidden="false" customHeight="false" outlineLevel="0" collapsed="false">
      <c r="A16" s="350" t="s">
        <v>763</v>
      </c>
      <c r="B16" s="269" t="n">
        <f aca="false">POWER(10,ABS(C8/20))</f>
        <v>1.756762737786</v>
      </c>
      <c r="C16" s="359"/>
      <c r="D16" s="359"/>
      <c r="E16" s="359"/>
      <c r="F16" s="0"/>
    </row>
    <row r="17" customFormat="false" ht="12.8" hidden="false" customHeight="false" outlineLevel="0" collapsed="false">
      <c r="A17" s="350" t="s">
        <v>764</v>
      </c>
      <c r="B17" s="360" t="n">
        <f aca="false">IF(C8&lt;0,B15*B16,B15/B16)</f>
        <v>569.22883124233</v>
      </c>
      <c r="C17" s="359"/>
      <c r="D17" s="359"/>
      <c r="E17" s="359"/>
      <c r="F17" s="0"/>
    </row>
    <row r="18" customFormat="false" ht="12.8" hidden="false" customHeight="false" outlineLevel="0" collapsed="false">
      <c r="A18" s="350" t="s">
        <v>765</v>
      </c>
      <c r="B18" s="361" t="n">
        <v>549</v>
      </c>
      <c r="C18" s="359" t="s">
        <v>762</v>
      </c>
      <c r="D18" s="359"/>
      <c r="E18" s="359"/>
      <c r="F18" s="0"/>
    </row>
    <row r="19" customFormat="false" ht="12.8" hidden="false" customHeight="false" outlineLevel="0" collapsed="false">
      <c r="A19" s="350" t="s">
        <v>766</v>
      </c>
      <c r="B19" s="269" t="n">
        <f aca="false">20*LOG10(B18/B15)</f>
        <v>-5.20855311099816</v>
      </c>
      <c r="C19" s="362"/>
      <c r="D19" s="362"/>
      <c r="E19" s="362"/>
      <c r="F19" s="0"/>
    </row>
    <row r="20" customFormat="false" ht="12.8" hidden="false" customHeight="false" outlineLevel="0" collapsed="false">
      <c r="A20" s="350" t="s">
        <v>767</v>
      </c>
      <c r="B20" s="360" t="n">
        <f aca="false">IF(C8&lt;0,(B8-(ABS(C8)-B19)/(20/(B8-(B8/10)))),(B8-(ABS(C8)-B19)*(20/(B8-(B8/10)))))</f>
        <v>7999.97193662407</v>
      </c>
      <c r="C20" s="359"/>
      <c r="D20" s="359"/>
      <c r="E20" s="359"/>
      <c r="F20" s="0"/>
    </row>
    <row r="21" customFormat="false" ht="12.8" hidden="false" customHeight="false" outlineLevel="0" collapsed="false">
      <c r="A21" s="350" t="s">
        <v>768</v>
      </c>
      <c r="B21" s="361" t="n">
        <f aca="false">B8/2.5</f>
        <v>3200</v>
      </c>
      <c r="C21" s="359"/>
      <c r="D21" s="359"/>
      <c r="E21" s="359"/>
      <c r="F21" s="0"/>
    </row>
    <row r="22" customFormat="false" ht="12.8" hidden="false" customHeight="false" outlineLevel="0" collapsed="false">
      <c r="A22" s="350" t="s">
        <v>769</v>
      </c>
      <c r="B22" s="363" t="n">
        <f aca="false">1/(2*PI()*B18*B21)</f>
        <v>9.05936606852774E-008</v>
      </c>
      <c r="C22" s="362"/>
      <c r="D22" s="362"/>
      <c r="E22" s="362"/>
      <c r="F22" s="0"/>
    </row>
    <row r="23" customFormat="false" ht="12.8" hidden="false" customHeight="false" outlineLevel="0" collapsed="false">
      <c r="A23" s="350" t="s">
        <v>770</v>
      </c>
      <c r="B23" s="364" t="n">
        <v>8.2E-008</v>
      </c>
      <c r="C23" s="359" t="s">
        <v>771</v>
      </c>
      <c r="D23" s="359"/>
      <c r="E23" s="359"/>
      <c r="F23" s="0"/>
    </row>
    <row r="24" customFormat="false" ht="12.8" hidden="false" customHeight="false" outlineLevel="0" collapsed="false">
      <c r="A24" s="350" t="s">
        <v>772</v>
      </c>
      <c r="B24" s="360" t="n">
        <f aca="false">1/(2*PI()*B18*B23)</f>
        <v>3535.36236820595</v>
      </c>
      <c r="C24" s="359"/>
      <c r="D24" s="359"/>
      <c r="E24" s="359"/>
      <c r="F24" s="0"/>
    </row>
    <row r="25" customFormat="false" ht="12.8" hidden="false" customHeight="false" outlineLevel="0" collapsed="false">
      <c r="A25" s="350" t="s">
        <v>773</v>
      </c>
      <c r="B25" s="361" t="n">
        <v>16000</v>
      </c>
      <c r="C25" s="359"/>
      <c r="D25" s="359"/>
      <c r="E25" s="359"/>
      <c r="F25" s="0"/>
    </row>
    <row r="26" customFormat="false" ht="12.8" hidden="false" customHeight="false" outlineLevel="0" collapsed="false">
      <c r="A26" s="350" t="s">
        <v>774</v>
      </c>
      <c r="B26" s="268" t="n">
        <f aca="false">1/(2*PI()*B25*B18)</f>
        <v>1.81187321370555E-008</v>
      </c>
      <c r="C26" s="359"/>
      <c r="D26" s="359"/>
      <c r="E26" s="359"/>
      <c r="F26" s="0"/>
    </row>
    <row r="27" customFormat="false" ht="12.8" hidden="false" customHeight="false" outlineLevel="0" collapsed="false">
      <c r="A27" s="350" t="s">
        <v>775</v>
      </c>
      <c r="B27" s="365" t="n">
        <v>1.8E-008</v>
      </c>
      <c r="C27" s="359" t="s">
        <v>776</v>
      </c>
      <c r="D27" s="359"/>
      <c r="E27" s="359"/>
      <c r="F27" s="0"/>
    </row>
    <row r="28" customFormat="false" ht="12.8" hidden="false" customHeight="false" outlineLevel="0" collapsed="false">
      <c r="A28" s="366" t="s">
        <v>777</v>
      </c>
      <c r="B28" s="367" t="n">
        <f aca="false">1/(2*PI()*B27*B18)</f>
        <v>16105.5396773826</v>
      </c>
      <c r="C28" s="368"/>
      <c r="D28" s="368"/>
      <c r="E28" s="368"/>
      <c r="F28" s="0"/>
    </row>
    <row r="29" customFormat="false" ht="12.8" hidden="false" customHeight="false" outlineLevel="0" collapsed="false">
      <c r="E29" s="0"/>
      <c r="F29" s="0"/>
    </row>
    <row r="30" customFormat="false" ht="12.8" hidden="false" customHeight="false" outlineLevel="0" collapsed="false">
      <c r="A30" s="347" t="s">
        <v>778</v>
      </c>
      <c r="B30" s="348" t="s">
        <v>753</v>
      </c>
      <c r="C30" s="349" t="s">
        <v>754</v>
      </c>
      <c r="E30" s="0"/>
      <c r="F30" s="0"/>
    </row>
    <row r="31" customFormat="false" ht="12.8" hidden="false" customHeight="false" outlineLevel="0" collapsed="false">
      <c r="A31" s="350" t="s">
        <v>755</v>
      </c>
      <c r="B31" s="369" t="n">
        <v>1</v>
      </c>
      <c r="C31" s="352" t="n">
        <f aca="false">C32+20*LOG10(B32/B31)</f>
        <v>65.7601255851634</v>
      </c>
    </row>
    <row r="32" customFormat="false" ht="12.8" hidden="false" customHeight="false" outlineLevel="0" collapsed="false">
      <c r="A32" s="350" t="str">
        <f aca="false">A24</f>
        <v>C1 zero using standard value, F_c1(z) =</v>
      </c>
      <c r="B32" s="369" t="n">
        <f aca="false">B24</f>
        <v>3535.36236820595</v>
      </c>
      <c r="C32" s="352" t="n">
        <f aca="false">B19</f>
        <v>-5.20855311099816</v>
      </c>
    </row>
    <row r="33" customFormat="false" ht="12.8" hidden="false" customHeight="false" outlineLevel="0" collapsed="false">
      <c r="A33" s="370" t="str">
        <f aca="false">A20</f>
        <v>Approximate Fco using standard value R2, Hz =</v>
      </c>
      <c r="B33" s="369" t="n">
        <f aca="false">B20</f>
        <v>7999.97193662407</v>
      </c>
      <c r="C33" s="352" t="n">
        <f aca="false">C32</f>
        <v>-5.20855311099816</v>
      </c>
    </row>
    <row r="34" customFormat="false" ht="12.8" hidden="false" customHeight="false" outlineLevel="0" collapsed="false">
      <c r="A34" s="350" t="str">
        <f aca="false">A28</f>
        <v>C2 pole frequency based on standard value, F =</v>
      </c>
      <c r="B34" s="369" t="n">
        <f aca="false">B28</f>
        <v>16105.5396773826</v>
      </c>
      <c r="C34" s="352" t="n">
        <f aca="false">C33</f>
        <v>-5.20855311099816</v>
      </c>
    </row>
    <row r="35" customFormat="false" ht="12.8" hidden="false" customHeight="false" outlineLevel="0" collapsed="false">
      <c r="A35" s="371" t="str">
        <f aca="false">A12</f>
        <v>Switching frequency =</v>
      </c>
      <c r="B35" s="372" t="n">
        <f aca="false">B12</f>
        <v>150000</v>
      </c>
      <c r="C35" s="357" t="n">
        <f aca="false">C34-(20*LOG10(B35/B34))</f>
        <v>-24.590872650342</v>
      </c>
    </row>
    <row r="37" customFormat="false" ht="12.8" hidden="false" customHeight="false" outlineLevel="0" collapsed="false">
      <c r="A37" s="347" t="s">
        <v>779</v>
      </c>
      <c r="B37" s="348" t="s">
        <v>753</v>
      </c>
      <c r="C37" s="348" t="s">
        <v>780</v>
      </c>
      <c r="D37" s="348" t="s">
        <v>781</v>
      </c>
      <c r="E37" s="349" t="s">
        <v>782</v>
      </c>
    </row>
    <row r="38" customFormat="false" ht="12.8" hidden="false" customHeight="false" outlineLevel="0" collapsed="false">
      <c r="A38" s="350" t="s">
        <v>755</v>
      </c>
      <c r="B38" s="369" t="n">
        <v>1</v>
      </c>
      <c r="C38" s="258" t="n">
        <f aca="false">C4</f>
        <v>82.9560619631629</v>
      </c>
      <c r="D38" s="373" t="n">
        <f aca="false">C31</f>
        <v>65.7601255851634</v>
      </c>
      <c r="E38" s="352" t="n">
        <f aca="false">C38+D38</f>
        <v>148.716187548326</v>
      </c>
    </row>
    <row r="39" customFormat="false" ht="12.8" hidden="false" customHeight="false" outlineLevel="0" collapsed="false">
      <c r="A39" s="350" t="s">
        <v>783</v>
      </c>
      <c r="B39" s="369" t="n">
        <f aca="false">B38*10*10*10</f>
        <v>1000</v>
      </c>
      <c r="C39" s="258" t="n">
        <f aca="false">C38-(20*LOG10(B39/B38))</f>
        <v>22.9560619631629</v>
      </c>
      <c r="D39" s="258" t="n">
        <f aca="false">D38-(20*LOG10(B39/B38))</f>
        <v>5.76012558516337</v>
      </c>
      <c r="E39" s="352" t="n">
        <f aca="false">C39+D39</f>
        <v>28.7161875483263</v>
      </c>
    </row>
    <row r="40" customFormat="false" ht="12.8" hidden="false" customHeight="false" outlineLevel="0" collapsed="false">
      <c r="A40" s="374" t="str">
        <f aca="false">A24</f>
        <v>C1 zero using standard value, F_c1(z) =</v>
      </c>
      <c r="B40" s="375" t="n">
        <f aca="false">B24</f>
        <v>3535.36236820595</v>
      </c>
      <c r="C40" s="258" t="n">
        <f aca="false">C39-(20*LOG10(B40/B39))</f>
        <v>11.9873832670014</v>
      </c>
      <c r="D40" s="258" t="n">
        <f aca="false">D39-(20*LOG10(B40/B39))</f>
        <v>-5.20855311099816</v>
      </c>
      <c r="E40" s="352" t="n">
        <f aca="false">C40+D40</f>
        <v>6.77883015600324</v>
      </c>
    </row>
    <row r="41" customFormat="false" ht="12.8" hidden="false" customHeight="false" outlineLevel="0" collapsed="false">
      <c r="A41" s="374" t="str">
        <f aca="false">A20</f>
        <v>Approximate Fco using standard value R2, Hz =</v>
      </c>
      <c r="B41" s="375" t="n">
        <f aca="false">B20</f>
        <v>7999.97193662407</v>
      </c>
      <c r="C41" s="258" t="n">
        <f aca="false">C40-(20*LOG10(B41/B40))</f>
        <v>4.89429269280077</v>
      </c>
      <c r="D41" s="373" t="n">
        <f aca="false">D40</f>
        <v>-5.20855311099816</v>
      </c>
      <c r="E41" s="352" t="n">
        <f aca="false">C41+D41</f>
        <v>-0.314260418197392</v>
      </c>
    </row>
    <row r="42" customFormat="false" ht="12.8" hidden="false" customHeight="false" outlineLevel="0" collapsed="false">
      <c r="A42" s="374" t="str">
        <f aca="false">A28</f>
        <v>C2 pole frequency based on standard value, F =</v>
      </c>
      <c r="B42" s="369" t="n">
        <f aca="false">B28</f>
        <v>16105.5396773826</v>
      </c>
      <c r="C42" s="258" t="n">
        <f aca="false">C41-(20*LOG10(B42/B41))</f>
        <v>-1.18344367860681</v>
      </c>
      <c r="D42" s="373" t="n">
        <f aca="false">D40</f>
        <v>-5.20855311099816</v>
      </c>
      <c r="E42" s="352" t="n">
        <f aca="false">C42+D42</f>
        <v>-6.39199678960497</v>
      </c>
    </row>
    <row r="43" customFormat="false" ht="12.8" hidden="false" customHeight="false" outlineLevel="0" collapsed="false">
      <c r="A43" s="374" t="str">
        <f aca="false">A10</f>
        <v>Power circuit zero @ MPPT =</v>
      </c>
      <c r="B43" s="375" t="n">
        <f aca="false">v_slope!E30</f>
        <v>17543.6002052674</v>
      </c>
      <c r="C43" s="258" t="n">
        <f aca="false">C42-(20*LOG10(B43/B42))</f>
        <v>-1.92631247289781</v>
      </c>
      <c r="D43" s="258" t="n">
        <f aca="false">D42-(20*LOG10(B43/B42))</f>
        <v>-5.95142190528915</v>
      </c>
      <c r="E43" s="352" t="n">
        <f aca="false">C43+D43</f>
        <v>-7.87773437818696</v>
      </c>
    </row>
    <row r="44" customFormat="false" ht="12.8" hidden="false" customHeight="false" outlineLevel="0" collapsed="false">
      <c r="A44" s="376" t="str">
        <f aca="false">A12</f>
        <v>Switching frequency =</v>
      </c>
      <c r="B44" s="372" t="n">
        <f aca="false">design!C15</f>
        <v>150000</v>
      </c>
      <c r="C44" s="377" t="n">
        <f aca="false">C43-(20*LOG10(B44/B43))</f>
        <v>-20.5657632179507</v>
      </c>
      <c r="D44" s="377" t="n">
        <f aca="false">D43-(20*LOG10(B44/B43))</f>
        <v>-24.590872650342</v>
      </c>
      <c r="E44" s="357" t="n">
        <f aca="false">C44+D44</f>
        <v>-45.1566358682928</v>
      </c>
    </row>
    <row r="45" customFormat="false" ht="12.8" hidden="false" customHeight="false" outlineLevel="0" collapsed="false">
      <c r="A45" s="0"/>
      <c r="B45" s="0"/>
      <c r="C45" s="76"/>
      <c r="D45" s="139"/>
      <c r="E45" s="139"/>
    </row>
    <row r="46" customFormat="false" ht="12.8" hidden="false" customHeight="false" outlineLevel="0" collapsed="false">
      <c r="A46" s="0"/>
      <c r="B46" s="0"/>
      <c r="C46" s="76"/>
      <c r="D46" s="139"/>
      <c r="E46" s="139"/>
    </row>
    <row r="47" customFormat="false" ht="12.8" hidden="false" customHeight="false" outlineLevel="0" collapsed="false">
      <c r="A47" s="0"/>
      <c r="B47" s="0"/>
      <c r="C47" s="76"/>
      <c r="D47" s="139"/>
      <c r="E47" s="139"/>
    </row>
    <row r="48" customFormat="false" ht="12.8" hidden="false" customHeight="false" outlineLevel="0" collapsed="false">
      <c r="A48" s="0"/>
      <c r="B48" s="0"/>
      <c r="C48" s="76"/>
      <c r="D48" s="139"/>
      <c r="E48" s="139"/>
    </row>
    <row r="49" customFormat="false" ht="12.8" hidden="false" customHeight="false" outlineLevel="0" collapsed="false">
      <c r="A49" s="0"/>
      <c r="B49" s="0"/>
      <c r="C49" s="76"/>
      <c r="D49" s="139"/>
      <c r="E49" s="139"/>
    </row>
    <row r="50" customFormat="false" ht="12.8" hidden="false" customHeight="false" outlineLevel="0" collapsed="false">
      <c r="A50" s="0"/>
      <c r="B50" s="0"/>
      <c r="C50" s="76"/>
      <c r="D50" s="139"/>
      <c r="E50" s="139"/>
    </row>
    <row r="51" customFormat="false" ht="12.8" hidden="false" customHeight="false" outlineLevel="0" collapsed="false">
      <c r="A51" s="0"/>
      <c r="B51" s="0"/>
      <c r="C51" s="76"/>
      <c r="D51" s="139"/>
      <c r="E51" s="139"/>
    </row>
    <row r="52" customFormat="false" ht="12.8" hidden="false" customHeight="false" outlineLevel="0" collapsed="false">
      <c r="C52" s="139"/>
      <c r="D52" s="139"/>
      <c r="E52" s="139"/>
    </row>
    <row r="53" customFormat="false" ht="12.8" hidden="false" customHeight="false" outlineLevel="0" collapsed="false">
      <c r="C53" s="139"/>
      <c r="D53" s="139"/>
      <c r="E53" s="139"/>
    </row>
    <row r="54" customFormat="false" ht="12.8" hidden="false" customHeight="false" outlineLevel="0" collapsed="false">
      <c r="C54" s="139"/>
      <c r="D54" s="139"/>
      <c r="E54" s="139"/>
    </row>
    <row r="55" customFormat="false" ht="12.8" hidden="false" customHeight="false" outlineLevel="0" collapsed="false">
      <c r="C55" s="139"/>
      <c r="D55" s="139"/>
      <c r="E55" s="139"/>
    </row>
    <row r="56" customFormat="false" ht="12.8" hidden="false" customHeight="false" outlineLevel="0" collapsed="false">
      <c r="C56" s="139"/>
      <c r="D56" s="139"/>
      <c r="E56" s="139"/>
    </row>
    <row r="57" customFormat="false" ht="12.8" hidden="false" customHeight="false" outlineLevel="0" collapsed="false">
      <c r="C57" s="139"/>
      <c r="D57" s="139"/>
      <c r="E57" s="139"/>
    </row>
    <row r="58" customFormat="false" ht="12.8" hidden="false" customHeight="false" outlineLevel="0" collapsed="false">
      <c r="C58" s="139"/>
      <c r="D58" s="139"/>
      <c r="E58" s="139"/>
    </row>
    <row r="59" customFormat="false" ht="12.8" hidden="false" customHeight="false" outlineLevel="0" collapsed="false">
      <c r="C59" s="139"/>
      <c r="D59" s="139"/>
      <c r="E59" s="139"/>
    </row>
    <row r="60" customFormat="false" ht="12.8" hidden="false" customHeight="false" outlineLevel="0" collapsed="false">
      <c r="C60" s="139"/>
      <c r="D60" s="139"/>
      <c r="E60" s="139"/>
    </row>
    <row r="61" customFormat="false" ht="12.8" hidden="false" customHeight="false" outlineLevel="0" collapsed="false">
      <c r="C61" s="139"/>
      <c r="D61" s="139"/>
      <c r="E61" s="139"/>
    </row>
    <row r="62" customFormat="false" ht="12.8" hidden="false" customHeight="false" outlineLevel="0" collapsed="false">
      <c r="C62" s="139"/>
      <c r="D62" s="139"/>
      <c r="E62" s="139"/>
    </row>
    <row r="63" customFormat="false" ht="12.8" hidden="false" customHeight="false" outlineLevel="0" collapsed="false">
      <c r="C63" s="139"/>
      <c r="D63" s="139"/>
      <c r="E63" s="139"/>
    </row>
    <row r="64" customFormat="false" ht="12.8" hidden="false" customHeight="false" outlineLevel="0" collapsed="false">
      <c r="C64" s="139"/>
      <c r="D64" s="139"/>
      <c r="E64" s="139"/>
    </row>
  </sheetData>
  <mergeCells count="16">
    <mergeCell ref="A1:E1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87940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2020-01-09T10:14:07Z</dcterms:created>
  <dc:creator/>
  <dc:description/>
  <dc:language>en-US</dc:language>
  <cp:lastModifiedBy/>
  <dcterms:modified xsi:type="dcterms:W3CDTF">2022-05-19T16:37:00Z</dcterms:modified>
  <cp:revision>1050</cp:revision>
  <dc:subject/>
  <dc:title/>
</cp:coreProperties>
</file>