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7.xml.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7.xml" ContentType="application/vnd.openxmlformats-officedocument.spreadsheetml.comments+xml"/>
  <Override PartName="/xl/drawings/vmlDrawing1.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esign" sheetId="1" state="visible" r:id="rId2"/>
    <sheet name="ind_l1_s" sheetId="2" state="visible" r:id="rId3"/>
    <sheet name="ind_l2_p" sheetId="3" state="visible" r:id="rId4"/>
    <sheet name="ind_l3_s" sheetId="4" state="visible" r:id="rId5"/>
    <sheet name="ind_l4_p" sheetId="5" state="visible" r:id="rId6"/>
    <sheet name="bom" sheetId="6" state="visible" r:id="rId7"/>
    <sheet name="wireawg" sheetId="7" state="visible" r:id="rId8"/>
  </sheets>
  <definedNames>
    <definedName function="false" hidden="false" localSheetId="5" name="timer_2_0_161105" vbProcedure="false">bom!$C$1:$H$65</definedName>
    <definedName function="false" hidden="false" localSheetId="5" name="_xlnm._FilterDatabase" vbProcedure="false">bom!$A$1:$H$87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comments7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G3" authorId="0">
      <text>
        <r>
          <rPr>
            <b val="true"/>
            <sz val="9"/>
            <color rgb="FF000000"/>
            <rFont val="Calibri"/>
            <family val="2"/>
          </rPr>
          <t xml:space="preserve">Brian Cornell:
</t>
        </r>
      </text>
    </comment>
  </commentList>
</comments>
</file>

<file path=xl/sharedStrings.xml><?xml version="1.0" encoding="utf-8"?>
<sst xmlns="http://schemas.openxmlformats.org/spreadsheetml/2006/main" count="460" uniqueCount="270">
  <si>
    <t xml:space="preserve">LM5161 Flybuck Bias PS</t>
  </si>
  <si>
    <t xml:space="preserve">Section</t>
  </si>
  <si>
    <t xml:space="preserve">Parameter</t>
  </si>
  <si>
    <t xml:space="preserve">Value</t>
  </si>
  <si>
    <t xml:space="preserve">Notes</t>
  </si>
  <si>
    <t xml:space="preserve">Requirements</t>
  </si>
  <si>
    <t xml:space="preserve">V_in_nom</t>
  </si>
  <si>
    <t xml:space="preserve">Nominal input voltage</t>
  </si>
  <si>
    <t xml:space="preserve">V_in_min</t>
  </si>
  <si>
    <t xml:space="preserve">Minimum input voltage: must be &lt;2 * V_1</t>
  </si>
  <si>
    <t xml:space="preserve">V_in_hys</t>
  </si>
  <si>
    <t xml:space="preserve">V_in_min hysteresis for UVLO function</t>
  </si>
  <si>
    <t xml:space="preserve">V_in_max</t>
  </si>
  <si>
    <t xml:space="preserve">Maximum input voltage</t>
  </si>
  <si>
    <t xml:space="preserve">η</t>
  </si>
  <si>
    <t xml:space="preserve">Estimated efficiency from data sheet graphs</t>
  </si>
  <si>
    <t xml:space="preserve">V_1</t>
  </si>
  <si>
    <t xml:space="preserve">Buck output</t>
  </si>
  <si>
    <t xml:space="preserve">V_2</t>
  </si>
  <si>
    <t xml:space="preserve">Isolated flybuck output.</t>
  </si>
  <si>
    <t xml:space="preserve">I_1</t>
  </si>
  <si>
    <t xml:space="preserve">I_2</t>
  </si>
  <si>
    <t xml:space="preserve">V_2_d_f</t>
  </si>
  <si>
    <t xml:space="preserve">T_ss</t>
  </si>
  <si>
    <t xml:space="preserve">Soft start time</t>
  </si>
  <si>
    <t xml:space="preserve">I_L_Δ%</t>
  </si>
  <si>
    <t xml:space="preserve">F_sw</t>
  </si>
  <si>
    <t xml:space="preserve">Power
And
Current</t>
  </si>
  <si>
    <t xml:space="preserve">I_out</t>
  </si>
  <si>
    <t xml:space="preserve">P_1</t>
  </si>
  <si>
    <t xml:space="preserve">P_2</t>
  </si>
  <si>
    <t xml:space="preserve">P_out</t>
  </si>
  <si>
    <t xml:space="preserve">P_in</t>
  </si>
  <si>
    <t xml:space="preserve">I_in_nom</t>
  </si>
  <si>
    <t xml:space="preserve">I_in_max</t>
  </si>
  <si>
    <t xml:space="preserve">I_in_min</t>
  </si>
  <si>
    <t xml:space="preserve">V_2_d_r</t>
  </si>
  <si>
    <t xml:space="preserve">Minimum V_r value for V_2 rectifier</t>
  </si>
  <si>
    <t xml:space="preserve">Inductor Requirements</t>
  </si>
  <si>
    <t xml:space="preserve">N_r</t>
  </si>
  <si>
    <t xml:space="preserve">I_L_Δ</t>
  </si>
  <si>
    <t xml:space="preserve">I_L_p</t>
  </si>
  <si>
    <t xml:space="preserve">Soft Start</t>
  </si>
  <si>
    <t xml:space="preserve">C_ss</t>
  </si>
  <si>
    <t xml:space="preserve">Soft start capacitor value to meet T_ss</t>
  </si>
  <si>
    <t xml:space="preserve">C_ss_std</t>
  </si>
  <si>
    <t xml:space="preserve">Standard value for C_ss</t>
  </si>
  <si>
    <t xml:space="preserve">T_ss_std</t>
  </si>
  <si>
    <t xml:space="preserve">Startup time using standard value C_ss_std</t>
  </si>
  <si>
    <t xml:space="preserve">UVLO</t>
  </si>
  <si>
    <t xml:space="preserve">R_uv2</t>
  </si>
  <si>
    <t xml:space="preserve">Top resistor for UVLO divider</t>
  </si>
  <si>
    <t xml:space="preserve">R_uv2_std</t>
  </si>
  <si>
    <t xml:space="preserve">Standard value for R_uv2</t>
  </si>
  <si>
    <t xml:space="preserve">V_in_hys_std</t>
  </si>
  <si>
    <t xml:space="preserve">V_in_min hysteresis with standard R_uv2</t>
  </si>
  <si>
    <t xml:space="preserve">R_uv1</t>
  </si>
  <si>
    <t xml:space="preserve">Bottom resistor for UVLO divider</t>
  </si>
  <si>
    <t xml:space="preserve">R_uv1_std</t>
  </si>
  <si>
    <t xml:space="preserve">Standard value for R_uv1</t>
  </si>
  <si>
    <t xml:space="preserve">V_in_min_std</t>
  </si>
  <si>
    <t xml:space="preserve">V_in_min (startup) with R_uv1_std</t>
  </si>
  <si>
    <t xml:space="preserve">P_r_uvlo</t>
  </si>
  <si>
    <t xml:space="preserve">Combined dissipation of R_uv1/2 @ V_in_max</t>
  </si>
  <si>
    <t xml:space="preserve">Voltage Sense (feed back)</t>
  </si>
  <si>
    <t xml:space="preserve">R_fb_2</t>
  </si>
  <si>
    <t xml:space="preserve">Top resistor</t>
  </si>
  <si>
    <t xml:space="preserve">R_fb_1</t>
  </si>
  <si>
    <t xml:space="preserve">Bottom resistor</t>
  </si>
  <si>
    <t xml:space="preserve">I_R_fb</t>
  </si>
  <si>
    <t xml:space="preserve">P_R_fb</t>
  </si>
  <si>
    <t xml:space="preserve">Timing</t>
  </si>
  <si>
    <t xml:space="preserve">R_on</t>
  </si>
  <si>
    <t xml:space="preserve">R_on_std</t>
  </si>
  <si>
    <t xml:space="preserve">F_sw_std</t>
  </si>
  <si>
    <t xml:space="preserve">T_on_v_nom</t>
  </si>
  <si>
    <t xml:space="preserve">T_on_v_min</t>
  </si>
  <si>
    <t xml:space="preserve">T_on_v_max</t>
  </si>
  <si>
    <t xml:space="preserve">Inductor</t>
  </si>
  <si>
    <t xml:space="preserve">L_min</t>
  </si>
  <si>
    <t xml:space="preserve">I_L_Δ_min</t>
  </si>
  <si>
    <t xml:space="preserve">I_L_Δ_max</t>
  </si>
  <si>
    <t xml:space="preserve">I_L_peak</t>
  </si>
  <si>
    <t xml:space="preserve">P_L_dcr</t>
  </si>
  <si>
    <r>
      <rPr>
        <sz val="10"/>
        <rFont val="Arial"/>
        <family val="2"/>
      </rPr>
      <t xml:space="preserve">DC losses of windings (1</t>
    </r>
    <r>
      <rPr>
        <vertAlign val="superscript"/>
        <sz val="10"/>
        <rFont val="Arial"/>
        <family val="2"/>
      </rPr>
      <t xml:space="preserve">st</t>
    </r>
    <r>
      <rPr>
        <sz val="10"/>
        <rFont val="Arial"/>
        <family val="2"/>
      </rPr>
      <t xml:space="preserve"> order)</t>
    </r>
  </si>
  <si>
    <t xml:space="preserve">Artificial Ripple Feed Back</t>
  </si>
  <si>
    <t xml:space="preserve">C_r_z</t>
  </si>
  <si>
    <t xml:space="preserve">1/10th of resistance of R_fb_1/2 in parallel</t>
  </si>
  <si>
    <t xml:space="preserve">C_r</t>
  </si>
  <si>
    <t xml:space="preserve">C_r_std</t>
  </si>
  <si>
    <t xml:space="preserve">V_r_pp</t>
  </si>
  <si>
    <t xml:space="preserve">I_r</t>
  </si>
  <si>
    <t xml:space="preserve">R_r</t>
  </si>
  <si>
    <t xml:space="preserve">R_r_std</t>
  </si>
  <si>
    <t xml:space="preserve">C_r_ac</t>
  </si>
  <si>
    <t xml:space="preserve">Should be 3~4 x C_r_std</t>
  </si>
  <si>
    <t xml:space="preserve">C_r_ac_std</t>
  </si>
  <si>
    <t xml:space="preserve">Input Capacitor</t>
  </si>
  <si>
    <t xml:space="preserve">V_in_r</t>
  </si>
  <si>
    <t xml:space="preserve">Maximum permissible ripple</t>
  </si>
  <si>
    <t xml:space="preserve">C_in_0esr</t>
  </si>
  <si>
    <t xml:space="preserve">Ideal input capacitance with 0 ESR</t>
  </si>
  <si>
    <t xml:space="preserve">V1 Output Capacitor</t>
  </si>
  <si>
    <t xml:space="preserve">V_1_out_r</t>
  </si>
  <si>
    <t xml:space="preserve">C_1_out_0esr</t>
  </si>
  <si>
    <t xml:space="preserve">Ideal V1 output capacitance with 0 ESR</t>
  </si>
  <si>
    <t xml:space="preserve">V2 Output Capacitor</t>
  </si>
  <si>
    <t xml:space="preserve">V_2_out_r</t>
  </si>
  <si>
    <t xml:space="preserve">C_2_out_0esr</t>
  </si>
  <si>
    <t xml:space="preserve">Ideal V2 output capacitance with 0 ESR</t>
  </si>
  <si>
    <t xml:space="preserve">Design Parameter</t>
  </si>
  <si>
    <t xml:space="preserve">Winding Requirements &amp; 
Toroid Parameters</t>
  </si>
  <si>
    <t xml:space="preserve">Selected wire AWG =</t>
  </si>
  <si>
    <t xml:space="preserve">Isolated secondary first layer against core.</t>
  </si>
  <si>
    <t xml:space="preserve">Number of turns =</t>
  </si>
  <si>
    <t xml:space="preserve">Number of strands =</t>
  </si>
  <si>
    <t xml:space="preserve">Core dim. adjustment for previously wound layer(s), cm =</t>
  </si>
  <si>
    <r>
      <rPr>
        <sz val="10"/>
        <color rgb="FF000000"/>
        <rFont val="Arial"/>
        <family val="2"/>
      </rPr>
      <t xml:space="preserve">Selected wire area cm</t>
    </r>
    <r>
      <rPr>
        <vertAlign val="superscript"/>
        <sz val="10"/>
        <color rgb="FF000000"/>
        <rFont val="Arial"/>
        <family val="2"/>
      </rPr>
      <t xml:space="preserve">2</t>
    </r>
    <r>
      <rPr>
        <sz val="10"/>
        <color rgb="FF000000"/>
        <rFont val="Arial"/>
        <family val="2"/>
      </rPr>
      <t xml:space="preserve"> = </t>
    </r>
  </si>
  <si>
    <t xml:space="preserve">Selected wire uΩ/cm =</t>
  </si>
  <si>
    <t xml:space="preserve">Selected wire dia w/insul, mm =</t>
  </si>
  <si>
    <t xml:space="preserve">Selected core manufacturer =</t>
  </si>
  <si>
    <t xml:space="preserve">Magnetics</t>
  </si>
  <si>
    <t xml:space="preserve">Selected core part # =</t>
  </si>
  <si>
    <t xml:space="preserve">C055048A2</t>
  </si>
  <si>
    <t xml:space="preserve">Selected core OD, cm =</t>
  </si>
  <si>
    <t xml:space="preserve">Selected core ID, cm =</t>
  </si>
  <si>
    <t xml:space="preserve">Selected core height, cm =</t>
  </si>
  <si>
    <r>
      <rPr>
        <sz val="10"/>
        <color rgb="FF000000"/>
        <rFont val="Arial"/>
        <family val="2"/>
      </rPr>
      <t xml:space="preserve">Selected core A</t>
    </r>
    <r>
      <rPr>
        <vertAlign val="subscript"/>
        <sz val="10"/>
        <color rgb="FF000000"/>
        <rFont val="Arial"/>
        <family val="2"/>
      </rPr>
      <t xml:space="preserve">L</t>
    </r>
    <r>
      <rPr>
        <sz val="10"/>
        <color rgb="FF000000"/>
        <rFont val="Arial"/>
        <family val="2"/>
      </rPr>
      <t xml:space="preserve">, nH/N2 =</t>
    </r>
  </si>
  <si>
    <t xml:space="preserve">Permeability tolerance, % =</t>
  </si>
  <si>
    <t xml:space="preserve">Available winding length, cm =</t>
  </si>
  <si>
    <t xml:space="preserve">Mean Length turn, cm =</t>
  </si>
  <si>
    <t xml:space="preserve">Winding width per turn, cm =</t>
  </si>
  <si>
    <t xml:space="preserve">Total winding Ω =</t>
  </si>
  <si>
    <t xml:space="preserve">Toroid Winding Calculator</t>
  </si>
  <si>
    <t xml:space="preserve">Turns/Layer</t>
  </si>
  <si>
    <t xml:space="preserve">Len/Str/Layer</t>
  </si>
  <si>
    <t xml:space="preserve">Winding DCR, Ω</t>
  </si>
  <si>
    <t xml:space="preserve">DC Losses, P</t>
  </si>
  <si>
    <t xml:space="preserve">Mean length turn (cm) =</t>
  </si>
  <si>
    <t xml:space="preserve">Toroid inner diameter (cm) =</t>
  </si>
  <si>
    <t xml:space="preserve">Toroid inner radius (cm) =</t>
  </si>
  <si>
    <t xml:space="preserve">Toroid inner circumference (cm) =</t>
  </si>
  <si>
    <t xml:space="preserve">Number of turns layer 1 =</t>
  </si>
  <si>
    <t xml:space="preserve">Mean length turn layer 2 (cm) =</t>
  </si>
  <si>
    <t xml:space="preserve">Toroid inner radius w/layer 1 (cm) =</t>
  </si>
  <si>
    <t xml:space="preserve">Toroid inner circumference w/layer 1 (cm) =</t>
  </si>
  <si>
    <t xml:space="preserve">Number of turns layer 2 =</t>
  </si>
  <si>
    <t xml:space="preserve">Mean length turn layer 3 (cm) =</t>
  </si>
  <si>
    <t xml:space="preserve">Toroid inner radius w/layer 2 (cm) =</t>
  </si>
  <si>
    <t xml:space="preserve">Toroid inner circumference w/layer 2 (cm) =</t>
  </si>
  <si>
    <t xml:space="preserve">Number of turns layer 3 =</t>
  </si>
  <si>
    <t xml:space="preserve">Mean length turn layer 4 (cm) =</t>
  </si>
  <si>
    <t xml:space="preserve">Toroid inner radius w/layer 3 (cm) =</t>
  </si>
  <si>
    <t xml:space="preserve">Toroid inner circumference w/layer 3 (cm) =</t>
  </si>
  <si>
    <t xml:space="preserve">Number of turns layer 4 =</t>
  </si>
  <si>
    <t xml:space="preserve">Primary first winding on top of first layer secondary (interleave).</t>
  </si>
  <si>
    <t xml:space="preserve">Secondary second layer on top of primary first layer.</t>
  </si>
  <si>
    <r>
      <rPr>
        <sz val="10"/>
        <rFont val="Arial"/>
        <family val="2"/>
      </rPr>
      <t xml:space="preserve">Final (second) primary layer on top of 2</t>
    </r>
    <r>
      <rPr>
        <vertAlign val="superscript"/>
        <sz val="10"/>
        <rFont val="Arial"/>
        <family val="2"/>
      </rPr>
      <t xml:space="preserve">nd</t>
    </r>
    <r>
      <rPr>
        <sz val="10"/>
        <rFont val="Arial"/>
        <family val="2"/>
      </rPr>
      <t xml:space="preserve"> secondary layer.</t>
    </r>
  </si>
  <si>
    <t xml:space="preserve">Section / Sheet</t>
  </si>
  <si>
    <t xml:space="preserve">Reference</t>
  </si>
  <si>
    <t xml:space="preserve">Qty</t>
  </si>
  <si>
    <t xml:space="preserve">Package</t>
  </si>
  <si>
    <t xml:space="preserve">Vendor</t>
  </si>
  <si>
    <t xml:space="preserve">Part #</t>
  </si>
  <si>
    <t xml:space="preserve">Description</t>
  </si>
  <si>
    <t xml:space="preserve">LM5161-221011</t>
  </si>
  <si>
    <t xml:space="preserve">C100,C101</t>
  </si>
  <si>
    <t xml:space="preserve">10uF</t>
  </si>
  <si>
    <t xml:space="preserve">2220</t>
  </si>
  <si>
    <t xml:space="preserve">Mouser</t>
  </si>
  <si>
    <t xml:space="preserve">581-22201C106KAT2A</t>
  </si>
  <si>
    <t xml:space="preserve">Multilayer Ceramic Capacitors MLCC - SMD/SMT 100V 10uF X7R 2220 10%</t>
  </si>
  <si>
    <t xml:space="preserve">L100,L102,L103</t>
  </si>
  <si>
    <t xml:space="preserve">22uH</t>
  </si>
  <si>
    <t xml:space="preserve">TDK_SIMID2220T</t>
  </si>
  <si>
    <t xml:space="preserve">Digikey</t>
  </si>
  <si>
    <t xml:space="preserve">495-5659-1-ND</t>
  </si>
  <si>
    <t xml:space="preserve">Unshielded Wirewound Inductor 238mOhm Max 2-SMD, J-Lead</t>
  </si>
  <si>
    <t xml:space="preserve">U100</t>
  </si>
  <si>
    <t xml:space="preserve">LM5161PWPR</t>
  </si>
  <si>
    <t xml:space="preserve">14HTSSOP</t>
  </si>
  <si>
    <t xml:space="preserve">296-47265-1-ND</t>
  </si>
  <si>
    <t xml:space="preserve">Buck, Flyback Switching Regulator IC Positive, Isolation Capable Adjustable 2V 1 Output 1A 14-PowerTSSOP (0.173", 4.40mm Width)</t>
  </si>
  <si>
    <t xml:space="preserve">R100</t>
  </si>
  <si>
    <t xml:space="preserve">49.9K</t>
  </si>
  <si>
    <t xml:space="preserve">805</t>
  </si>
  <si>
    <t xml:space="preserve">P49.9KCCT-ND</t>
  </si>
  <si>
    <t xml:space="preserve">RES SMD 49.9K OHM 1% 1/8W 0805</t>
  </si>
  <si>
    <t xml:space="preserve">R101</t>
  </si>
  <si>
    <t xml:space="preserve">2K</t>
  </si>
  <si>
    <t xml:space="preserve">311-2.00KCRCT-ND</t>
  </si>
  <si>
    <t xml:space="preserve">RES SMD 2K OHM 1% 1/8W 0805</t>
  </si>
  <si>
    <t xml:space="preserve">R102</t>
  </si>
  <si>
    <t xml:space="preserve">470K</t>
  </si>
  <si>
    <t xml:space="preserve">P470KCCT-ND</t>
  </si>
  <si>
    <t xml:space="preserve">RES SMD 470K OHM 1% 1/8W 0805</t>
  </si>
  <si>
    <t xml:space="preserve">C102</t>
  </si>
  <si>
    <t xml:space="preserve">27nF</t>
  </si>
  <si>
    <t xml:space="preserve">399-9215-1-ND</t>
  </si>
  <si>
    <t xml:space="preserve">0.027µF ±5% 50V Ceramic Capacitor X7R 0805 (2012 Metric)</t>
  </si>
  <si>
    <t xml:space="preserve">C103</t>
  </si>
  <si>
    <t xml:space="preserve">1uF</t>
  </si>
  <si>
    <t xml:space="preserve">311-1886-1-ND</t>
  </si>
  <si>
    <t xml:space="preserve">1µF ±10% 50V Ceramic Capacitor X7R 0805 (2012 Metric)</t>
  </si>
  <si>
    <t xml:space="preserve">C104</t>
  </si>
  <si>
    <t xml:space="preserve">10nF</t>
  </si>
  <si>
    <t xml:space="preserve">1276-2984-1-ND</t>
  </si>
  <si>
    <t xml:space="preserve">10000pF ±5% 50V Ceramic Capacitor C0G, NP0 0805 (2012 Metric)</t>
  </si>
  <si>
    <t xml:space="preserve">L101</t>
  </si>
  <si>
    <t xml:space="preserve">140uH</t>
  </si>
  <si>
    <t xml:space="preserve">Toroid</t>
  </si>
  <si>
    <t xml:space="preserve">MPP core, see winding tabs</t>
  </si>
  <si>
    <t xml:space="preserve">D100</t>
  </si>
  <si>
    <t xml:space="preserve">MBR0530</t>
  </si>
  <si>
    <t xml:space="preserve">SOD123</t>
  </si>
  <si>
    <t xml:space="preserve">MBR0530CT-ND</t>
  </si>
  <si>
    <t xml:space="preserve">Diode Schottky 30V 500mA Surface Mount SOD-123 </t>
  </si>
  <si>
    <t xml:space="preserve">R103</t>
  </si>
  <si>
    <t xml:space="preserve">62K</t>
  </si>
  <si>
    <t xml:space="preserve">P62.0KCCT-ND</t>
  </si>
  <si>
    <t xml:space="preserve">RES SMD 62K OHM 1% 1/8W 0805</t>
  </si>
  <si>
    <t xml:space="preserve">C107</t>
  </si>
  <si>
    <t xml:space="preserve">12nF</t>
  </si>
  <si>
    <t xml:space="preserve">490-1654-1-ND</t>
  </si>
  <si>
    <t xml:space="preserve">0.012µF ±10% 100V Ceramic Capacitor X7R 0805 (2012 Metric)</t>
  </si>
  <si>
    <t xml:space="preserve">C105</t>
  </si>
  <si>
    <t xml:space="preserve">56nF</t>
  </si>
  <si>
    <t xml:space="preserve">81-GCM21BR72A563KA7L</t>
  </si>
  <si>
    <t xml:space="preserve">56nF ±10% 100V Ceramic Capacitor X7R</t>
  </si>
  <si>
    <t xml:space="preserve">R105</t>
  </si>
  <si>
    <t xml:space="preserve">3K</t>
  </si>
  <si>
    <t xml:space="preserve">P3.0KCCT-ND</t>
  </si>
  <si>
    <t xml:space="preserve">RES SMD 3K OHM 1% 1/8W 0805</t>
  </si>
  <si>
    <t xml:space="preserve">R106</t>
  </si>
  <si>
    <t xml:space="preserve">P604CCT-ND</t>
  </si>
  <si>
    <t xml:space="preserve">RES SMD 604 OHM 1% 1/8W 0805</t>
  </si>
  <si>
    <t xml:space="preserve">C108-C115</t>
  </si>
  <si>
    <t xml:space="preserve">1276-3388-1-ND</t>
  </si>
  <si>
    <t xml:space="preserve">10µF ±10% 50V Ceramic Capacitor X7R 1210 (3225 Metric) </t>
  </si>
  <si>
    <t xml:space="preserve">D101</t>
  </si>
  <si>
    <t xml:space="preserve">S115FA</t>
  </si>
  <si>
    <t xml:space="preserve">S115FACT-ND</t>
  </si>
  <si>
    <t xml:space="preserve">Diode Schottky 150V 1A Surface Mount SOD-123FA</t>
  </si>
  <si>
    <t xml:space="preserve">C106</t>
  </si>
  <si>
    <t xml:space="preserve">220pF</t>
  </si>
  <si>
    <t xml:space="preserve">311-1482-1-ND</t>
  </si>
  <si>
    <t xml:space="preserve">±5% 200V Ceramic Capacitor C0G, NP0 0805 (2012 Metric)</t>
  </si>
  <si>
    <t xml:space="preserve">R104</t>
  </si>
  <si>
    <t xml:space="preserve">118-CMP0805-FX-3300ELFCT-ND</t>
  </si>
  <si>
    <t xml:space="preserve">330 ±1% 0.5W, 1/2W Chip Resistor 0805 (2012 Metric) Pulse Withstanding Thick Film</t>
  </si>
  <si>
    <t xml:space="preserve">R107</t>
  </si>
  <si>
    <t xml:space="preserve">2.2nF</t>
  </si>
  <si>
    <t xml:space="preserve">399-13295-1-ND</t>
  </si>
  <si>
    <t xml:space="preserve">±10% 2000V (2kV) Ceramic Capacitor X7R 1206 (3216 Metric)</t>
  </si>
  <si>
    <t xml:space="preserve">AWG</t>
  </si>
  <si>
    <t xml:space="preserve">Diameter</t>
  </si>
  <si>
    <t xml:space="preserve">Turns of wire,
no insulation</t>
  </si>
  <si>
    <t xml:space="preserve">Area</t>
  </si>
  <si>
    <t xml:space="preserve">Copper Resistance</t>
  </si>
  <si>
    <t xml:space="preserve">(in)</t>
  </si>
  <si>
    <t xml:space="preserve">Bare
(mm)</t>
  </si>
  <si>
    <t xml:space="preserve">With Insul
(mm)</t>
  </si>
  <si>
    <t xml:space="preserve">(per in)</t>
  </si>
  <si>
    <t xml:space="preserve">(per cm)</t>
  </si>
  <si>
    <t xml:space="preserve">(kcmil)</t>
  </si>
  <si>
    <r>
      <rPr>
        <b val="true"/>
        <sz val="12"/>
        <color rgb="FF000000"/>
        <rFont val="Calibri"/>
        <family val="2"/>
      </rPr>
      <t xml:space="preserve">(cm</t>
    </r>
    <r>
      <rPr>
        <b val="true"/>
        <vertAlign val="superscript"/>
        <sz val="12"/>
        <color rgb="FF000000"/>
        <rFont val="Calibri"/>
        <family val="2"/>
      </rPr>
      <t xml:space="preserve">2</t>
    </r>
    <r>
      <rPr>
        <b val="true"/>
        <sz val="12"/>
        <color rgb="FF000000"/>
        <rFont val="Calibri"/>
        <family val="2"/>
      </rPr>
      <t xml:space="preserve">)</t>
    </r>
  </si>
  <si>
    <r>
      <rPr>
        <b val="true"/>
        <sz val="12"/>
        <color rgb="FF000000"/>
        <rFont val="Calibri"/>
        <family val="2"/>
      </rPr>
      <t xml:space="preserve">(mm</t>
    </r>
    <r>
      <rPr>
        <b val="true"/>
        <vertAlign val="superscript"/>
        <sz val="12"/>
        <color rgb="FF000000"/>
        <rFont val="Calibri"/>
        <family val="2"/>
      </rPr>
      <t xml:space="preserve">2</t>
    </r>
    <r>
      <rPr>
        <b val="true"/>
        <sz val="12"/>
        <color rgb="FF000000"/>
        <rFont val="Calibri"/>
        <family val="2"/>
      </rPr>
      <t xml:space="preserve">)</t>
    </r>
  </si>
  <si>
    <t xml:space="preserve">(mΩ/m)</t>
  </si>
  <si>
    <t xml:space="preserve">(uΩ/cm)</t>
  </si>
  <si>
    <t xml:space="preserve">(mΩ/ft)</t>
  </si>
</sst>
</file>

<file path=xl/styles.xml><?xml version="1.0" encoding="utf-8"?>
<styleSheet xmlns="http://schemas.openxmlformats.org/spreadsheetml/2006/main">
  <numFmts count="20">
    <numFmt numFmtId="164" formatCode="General"/>
    <numFmt numFmtId="165" formatCode="@"/>
    <numFmt numFmtId="166" formatCode="0.000"/>
    <numFmt numFmtId="167" formatCode="0.00%"/>
    <numFmt numFmtId="168" formatCode="##0.000E+00"/>
    <numFmt numFmtId="169" formatCode="#,##0"/>
    <numFmt numFmtId="170" formatCode="General"/>
    <numFmt numFmtId="171" formatCode="#,##0.000"/>
    <numFmt numFmtId="172" formatCode="#,###"/>
    <numFmt numFmtId="173" formatCode="0.000000"/>
    <numFmt numFmtId="174" formatCode="0"/>
    <numFmt numFmtId="175" formatCode="0.00E+00"/>
    <numFmt numFmtId="176" formatCode="0.0"/>
    <numFmt numFmtId="177" formatCode="0.00"/>
    <numFmt numFmtId="178" formatCode="0.00000"/>
    <numFmt numFmtId="179" formatCode="0%"/>
    <numFmt numFmtId="180" formatCode="0.000000E+00"/>
    <numFmt numFmtId="181" formatCode="0.0000"/>
    <numFmt numFmtId="182" formatCode="d\-mmm"/>
    <numFmt numFmtId="183" formatCode="0.0000000"/>
  </numFmts>
  <fonts count="1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  <font>
      <vertAlign val="superscript"/>
      <sz val="10"/>
      <name val="Arial"/>
      <family val="2"/>
    </font>
    <font>
      <b val="true"/>
      <sz val="10"/>
      <color rgb="FF000000"/>
      <name val="Arial"/>
      <family val="2"/>
    </font>
    <font>
      <sz val="10"/>
      <color rgb="FF000000"/>
      <name val="Arial"/>
      <family val="2"/>
    </font>
    <font>
      <vertAlign val="superscript"/>
      <sz val="10"/>
      <color rgb="FF000000"/>
      <name val="Arial"/>
      <family val="2"/>
    </font>
    <font>
      <vertAlign val="subscript"/>
      <sz val="10"/>
      <color rgb="FF000000"/>
      <name val="Arial"/>
      <family val="2"/>
    </font>
    <font>
      <sz val="12"/>
      <color rgb="FF000000"/>
      <name val="Calibri"/>
      <family val="2"/>
    </font>
    <font>
      <b val="true"/>
      <sz val="12"/>
      <color rgb="FF000000"/>
      <name val="Calibri"/>
      <family val="2"/>
    </font>
    <font>
      <u val="single"/>
      <sz val="12"/>
      <color rgb="FF0000FF"/>
      <name val="Calibri"/>
      <family val="2"/>
    </font>
    <font>
      <b val="true"/>
      <vertAlign val="superscript"/>
      <sz val="12"/>
      <color rgb="FF000000"/>
      <name val="Calibri"/>
      <family val="2"/>
    </font>
    <font>
      <b val="true"/>
      <sz val="9"/>
      <color rgb="FF000000"/>
      <name val="Calibri"/>
      <family val="2"/>
    </font>
    <font>
      <sz val="9"/>
      <color rgb="FF00000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rgb="FFFFF200"/>
        <bgColor rgb="FFFFFF00"/>
      </patternFill>
    </fill>
    <fill>
      <patternFill patternType="solid">
        <fgColor rgb="FF3FAF46"/>
        <bgColor rgb="FF33CCCC"/>
      </patternFill>
    </fill>
    <fill>
      <patternFill patternType="solid">
        <fgColor rgb="FFA1467E"/>
        <bgColor rgb="FF993366"/>
      </patternFill>
    </fill>
    <fill>
      <patternFill patternType="solid">
        <fgColor rgb="FFCCCCCC"/>
        <bgColor rgb="FFD9D9D9"/>
      </patternFill>
    </fill>
    <fill>
      <patternFill patternType="solid">
        <fgColor rgb="FF6B5E9B"/>
        <bgColor rgb="FF3465A4"/>
      </patternFill>
    </fill>
    <fill>
      <patternFill patternType="solid">
        <fgColor rgb="FFE16173"/>
        <bgColor rgb="FFFF6D6D"/>
      </patternFill>
    </fill>
    <fill>
      <patternFill patternType="solid">
        <fgColor rgb="FFEC9BA4"/>
        <bgColor rgb="FFFFA6A6"/>
      </patternFill>
    </fill>
    <fill>
      <patternFill patternType="solid">
        <fgColor rgb="FFFF6D6D"/>
        <bgColor rgb="FFE16173"/>
      </patternFill>
    </fill>
    <fill>
      <patternFill patternType="solid">
        <fgColor rgb="FFFFDE59"/>
        <bgColor rgb="FFFAC090"/>
      </patternFill>
    </fill>
    <fill>
      <patternFill patternType="solid">
        <fgColor rgb="FFFF8000"/>
        <bgColor rgb="FFFF6D6D"/>
      </patternFill>
    </fill>
    <fill>
      <patternFill patternType="solid">
        <fgColor rgb="FFFFA6A6"/>
        <bgColor rgb="FFEC9BA4"/>
      </patternFill>
    </fill>
    <fill>
      <patternFill patternType="solid">
        <fgColor rgb="FFB4C7DC"/>
        <bgColor rgb="FFCCCCCC"/>
      </patternFill>
    </fill>
    <fill>
      <patternFill patternType="solid">
        <fgColor rgb="FF5983B0"/>
        <bgColor rgb="FF6B5E9B"/>
      </patternFill>
    </fill>
    <fill>
      <patternFill patternType="solid">
        <fgColor rgb="FF3465A4"/>
        <bgColor rgb="FF6B5E9B"/>
      </patternFill>
    </fill>
    <fill>
      <patternFill patternType="solid">
        <fgColor rgb="FFFFFF00"/>
        <bgColor rgb="FFFFF200"/>
      </patternFill>
    </fill>
    <fill>
      <patternFill patternType="solid">
        <fgColor rgb="FFC4BD97"/>
        <bgColor rgb="FFCCCCCC"/>
      </patternFill>
    </fill>
    <fill>
      <patternFill patternType="solid">
        <fgColor rgb="FFFAC090"/>
        <bgColor rgb="FFFFA6A6"/>
      </patternFill>
    </fill>
    <fill>
      <patternFill patternType="solid">
        <fgColor rgb="FFD9D9D9"/>
        <bgColor rgb="FFCCCCCC"/>
      </patternFill>
    </fill>
  </fills>
  <borders count="29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/>
      <right style="medium"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79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false" applyProtection="false"/>
  </cellStyleXfs>
  <cellXfs count="18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2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1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1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11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1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3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1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4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1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5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1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6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16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16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17" borderId="4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5" fontId="7" fillId="17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5" fontId="7" fillId="17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7" borderId="7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7" fillId="17" borderId="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6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7" fontId="7" fillId="17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7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5" fontId="6" fillId="17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5" fontId="7" fillId="17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6" fillId="17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17" borderId="1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6" fillId="17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8" fontId="7" fillId="17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17" borderId="1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7" fillId="0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5" fontId="7" fillId="17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8" fontId="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8" fontId="7" fillId="17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7" fillId="17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7" fillId="0" borderId="0" xfId="19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3" fontId="7" fillId="17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0" fillId="17" borderId="1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80" fontId="6" fillId="17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7" fillId="17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17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0" fillId="17" borderId="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7" fontId="6" fillId="17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1" fontId="6" fillId="17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17" borderId="1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3" fontId="6" fillId="17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5" fontId="7" fillId="17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18" borderId="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5" fontId="6" fillId="18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18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6" fillId="18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18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18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8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18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7" fontId="0" fillId="18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7" fontId="6" fillId="18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4" fillId="18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18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18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81" fontId="0" fillId="18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18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18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82" fontId="7" fillId="18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82" fontId="7" fillId="18" borderId="2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7" fontId="0" fillId="18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7" fontId="6" fillId="18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7" fontId="6" fillId="18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7" fontId="0" fillId="18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1" fontId="0" fillId="18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8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8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1" fontId="0" fillId="18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8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6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0" fillId="17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7" fillId="17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4" fontId="0" fillId="17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6" fontId="0" fillId="17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16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16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6" fillId="16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6" fillId="16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5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7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11" fillId="16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16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16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16" borderId="25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4" fontId="0" fillId="19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78" fontId="0" fillId="19" borderId="8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81" fontId="0" fillId="19" borderId="0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81" fontId="0" fillId="19" borderId="9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0" fillId="19" borderId="8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0" fillId="19" borderId="9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73" fontId="0" fillId="19" borderId="8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83" fontId="0" fillId="19" borderId="0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73" fontId="0" fillId="19" borderId="9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81" fontId="0" fillId="19" borderId="8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74" fontId="0" fillId="19" borderId="27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74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81" fontId="0" fillId="0" borderId="0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0" fillId="0" borderId="8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73" fontId="0" fillId="0" borderId="8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73" fontId="0" fillId="0" borderId="9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74" fontId="0" fillId="0" borderId="27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78" fontId="10" fillId="19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81" fontId="10" fillId="19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81" fontId="10" fillId="19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19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8" fontId="0" fillId="19" borderId="10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81" fontId="0" fillId="0" borderId="11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81" fontId="0" fillId="19" borderId="12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0" fillId="0" borderId="10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0" fillId="19" borderId="12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73" fontId="0" fillId="0" borderId="10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83" fontId="0" fillId="19" borderId="11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73" fontId="0" fillId="0" borderId="12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81" fontId="0" fillId="19" borderId="10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74" fontId="0" fillId="0" borderId="28" xfId="0" applyFont="false" applyBorder="true" applyAlignment="true" applyProtection="false">
      <alignment horizontal="general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5983B0"/>
      <rgbColor rgb="FF9999FF"/>
      <rgbColor rgb="FFA1467E"/>
      <rgbColor rgb="FFFFFFCC"/>
      <rgbColor rgb="FFCCFFFF"/>
      <rgbColor rgb="FF660066"/>
      <rgbColor rgb="FFFF6D6D"/>
      <rgbColor rgb="FF0066CC"/>
      <rgbColor rgb="FFD9D9D9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4C7DC"/>
      <rgbColor rgb="FFFFA6A6"/>
      <rgbColor rgb="FFEC9BA4"/>
      <rgbColor rgb="FFFAC090"/>
      <rgbColor rgb="FF3465A4"/>
      <rgbColor rgb="FF33CCCC"/>
      <rgbColor rgb="FF99CC00"/>
      <rgbColor rgb="FFFFDE59"/>
      <rgbColor rgb="FFFF8000"/>
      <rgbColor rgb="FFE16173"/>
      <rgbColor rgb="FF6B5E9B"/>
      <rgbColor rgb="FFC4BD97"/>
      <rgbColor rgb="FF003366"/>
      <rgbColor rgb="FF3FAF4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comments" Target="../comments7.xml"/><Relationship Id="rId2" Type="http://schemas.openxmlformats.org/officeDocument/2006/relationships/hyperlink" Target="http://media.digikey.com/pdf/Data%20Sheets/CNC%20Tech%20PDFs/MW35C_Spec.pdf" TargetMode="External"/><Relationship Id="rId3" Type="http://schemas.openxmlformats.org/officeDocument/2006/relationships/hyperlink" Target="https://en.wikipedia.org/wiki/Circular_mil" TargetMode="External"/><Relationship Id="rId4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67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15.19"/>
    <col collapsed="false" customWidth="true" hidden="false" outlineLevel="0" max="2" min="2" style="0" width="14.35"/>
    <col collapsed="false" customWidth="true" hidden="false" outlineLevel="0" max="3" min="3" style="0" width="12.68"/>
    <col collapsed="false" customWidth="true" hidden="false" outlineLevel="0" max="4" min="4" style="1" width="47.61"/>
  </cols>
  <sheetData>
    <row r="1" customFormat="false" ht="12.8" hidden="false" customHeight="false" outlineLevel="0" collapsed="false">
      <c r="A1" s="2" t="s">
        <v>0</v>
      </c>
      <c r="B1" s="2"/>
      <c r="C1" s="2"/>
      <c r="D1" s="2"/>
    </row>
    <row r="2" customFormat="false" ht="12.8" hidden="false" customHeight="false" outlineLevel="0" collapsed="false">
      <c r="A2" s="3" t="s">
        <v>1</v>
      </c>
      <c r="B2" s="3" t="s">
        <v>2</v>
      </c>
      <c r="C2" s="3" t="s">
        <v>3</v>
      </c>
      <c r="D2" s="4" t="s">
        <v>4</v>
      </c>
    </row>
    <row r="3" customFormat="false" ht="12.8" hidden="false" customHeight="false" outlineLevel="0" collapsed="false">
      <c r="A3" s="5" t="s">
        <v>5</v>
      </c>
      <c r="B3" s="6" t="s">
        <v>6</v>
      </c>
      <c r="C3" s="7" t="n">
        <v>50</v>
      </c>
      <c r="D3" s="8" t="s">
        <v>7</v>
      </c>
    </row>
    <row r="4" customFormat="false" ht="12.8" hidden="false" customHeight="false" outlineLevel="0" collapsed="false">
      <c r="A4" s="5"/>
      <c r="B4" s="6" t="s">
        <v>8</v>
      </c>
      <c r="C4" s="7" t="n">
        <v>30</v>
      </c>
      <c r="D4" s="8" t="s">
        <v>9</v>
      </c>
    </row>
    <row r="5" customFormat="false" ht="12.8" hidden="false" customHeight="false" outlineLevel="0" collapsed="false">
      <c r="A5" s="5"/>
      <c r="B5" s="6" t="s">
        <v>10</v>
      </c>
      <c r="C5" s="7" t="n">
        <v>1</v>
      </c>
      <c r="D5" s="8" t="s">
        <v>11</v>
      </c>
    </row>
    <row r="6" customFormat="false" ht="12.8" hidden="false" customHeight="false" outlineLevel="0" collapsed="false">
      <c r="A6" s="5"/>
      <c r="B6" s="6" t="s">
        <v>12</v>
      </c>
      <c r="C6" s="7" t="n">
        <v>70</v>
      </c>
      <c r="D6" s="8" t="s">
        <v>13</v>
      </c>
    </row>
    <row r="7" customFormat="false" ht="12.8" hidden="false" customHeight="false" outlineLevel="0" collapsed="false">
      <c r="A7" s="5"/>
      <c r="B7" s="9" t="s">
        <v>14</v>
      </c>
      <c r="C7" s="10" t="n">
        <v>0.8</v>
      </c>
      <c r="D7" s="8" t="s">
        <v>15</v>
      </c>
    </row>
    <row r="8" customFormat="false" ht="12.8" hidden="false" customHeight="false" outlineLevel="0" collapsed="false">
      <c r="A8" s="5"/>
      <c r="B8" s="6" t="s">
        <v>16</v>
      </c>
      <c r="C8" s="7" t="n">
        <v>12</v>
      </c>
      <c r="D8" s="8" t="s">
        <v>17</v>
      </c>
    </row>
    <row r="9" customFormat="false" ht="12.8" hidden="false" customHeight="false" outlineLevel="0" collapsed="false">
      <c r="A9" s="5"/>
      <c r="B9" s="6" t="s">
        <v>18</v>
      </c>
      <c r="C9" s="7" t="n">
        <v>12</v>
      </c>
      <c r="D9" s="8" t="s">
        <v>19</v>
      </c>
    </row>
    <row r="10" customFormat="false" ht="12.8" hidden="false" customHeight="false" outlineLevel="0" collapsed="false">
      <c r="A10" s="5"/>
      <c r="B10" s="6" t="s">
        <v>20</v>
      </c>
      <c r="C10" s="7" t="n">
        <v>0.9</v>
      </c>
      <c r="D10" s="8"/>
    </row>
    <row r="11" customFormat="false" ht="12.8" hidden="false" customHeight="false" outlineLevel="0" collapsed="false">
      <c r="A11" s="5"/>
      <c r="B11" s="6" t="s">
        <v>21</v>
      </c>
      <c r="C11" s="7" t="n">
        <v>0.1</v>
      </c>
      <c r="D11" s="8"/>
    </row>
    <row r="12" customFormat="false" ht="12.8" hidden="false" customHeight="false" outlineLevel="0" collapsed="false">
      <c r="A12" s="5"/>
      <c r="B12" s="6" t="s">
        <v>22</v>
      </c>
      <c r="C12" s="7" t="n">
        <v>0.7</v>
      </c>
      <c r="D12" s="8"/>
    </row>
    <row r="13" customFormat="false" ht="12.8" hidden="false" customHeight="false" outlineLevel="0" collapsed="false">
      <c r="A13" s="5"/>
      <c r="B13" s="6" t="s">
        <v>23</v>
      </c>
      <c r="C13" s="11" t="n">
        <v>0.005</v>
      </c>
      <c r="D13" s="8" t="s">
        <v>24</v>
      </c>
    </row>
    <row r="14" customFormat="false" ht="12.8" hidden="false" customHeight="false" outlineLevel="0" collapsed="false">
      <c r="A14" s="5"/>
      <c r="B14" s="6" t="s">
        <v>25</v>
      </c>
      <c r="C14" s="10" t="n">
        <v>0.3</v>
      </c>
      <c r="D14" s="8"/>
    </row>
    <row r="15" customFormat="false" ht="12.8" hidden="false" customHeight="false" outlineLevel="0" collapsed="false">
      <c r="A15" s="5"/>
      <c r="B15" s="6" t="s">
        <v>26</v>
      </c>
      <c r="C15" s="12" t="n">
        <v>250000</v>
      </c>
      <c r="D15" s="8"/>
    </row>
    <row r="16" customFormat="false" ht="12.8" hidden="false" customHeight="true" outlineLevel="0" collapsed="false">
      <c r="A16" s="13" t="s">
        <v>27</v>
      </c>
      <c r="B16" s="14" t="s">
        <v>28</v>
      </c>
      <c r="C16" s="15" t="n">
        <f aca="false">(C10+(C11*C25))</f>
        <v>1.00583333333333</v>
      </c>
      <c r="D16" s="8"/>
    </row>
    <row r="17" customFormat="false" ht="12.8" hidden="false" customHeight="false" outlineLevel="0" collapsed="false">
      <c r="A17" s="13"/>
      <c r="B17" s="14" t="s">
        <v>29</v>
      </c>
      <c r="C17" s="16" t="n">
        <f aca="false">C8*C10</f>
        <v>10.8</v>
      </c>
      <c r="D17" s="8"/>
    </row>
    <row r="18" customFormat="false" ht="12.8" hidden="false" customHeight="false" outlineLevel="0" collapsed="false">
      <c r="A18" s="13"/>
      <c r="B18" s="14" t="s">
        <v>30</v>
      </c>
      <c r="C18" s="16" t="n">
        <f aca="false">C9*C11</f>
        <v>1.2</v>
      </c>
      <c r="D18" s="8"/>
    </row>
    <row r="19" customFormat="false" ht="12.8" hidden="false" customHeight="false" outlineLevel="0" collapsed="false">
      <c r="A19" s="13"/>
      <c r="B19" s="14" t="s">
        <v>31</v>
      </c>
      <c r="C19" s="16" t="n">
        <f aca="false">C17+C18</f>
        <v>12</v>
      </c>
      <c r="D19" s="8"/>
    </row>
    <row r="20" customFormat="false" ht="12.8" hidden="false" customHeight="false" outlineLevel="0" collapsed="false">
      <c r="A20" s="13"/>
      <c r="B20" s="17" t="s">
        <v>32</v>
      </c>
      <c r="C20" s="18" t="n">
        <f aca="false">C19/C7</f>
        <v>15</v>
      </c>
      <c r="D20" s="8"/>
    </row>
    <row r="21" customFormat="false" ht="12.8" hidden="false" customHeight="false" outlineLevel="0" collapsed="false">
      <c r="A21" s="13"/>
      <c r="B21" s="17" t="s">
        <v>33</v>
      </c>
      <c r="C21" s="16" t="n">
        <f aca="false">C20/C3</f>
        <v>0.3</v>
      </c>
      <c r="D21" s="8"/>
    </row>
    <row r="22" customFormat="false" ht="12.8" hidden="false" customHeight="false" outlineLevel="0" collapsed="false">
      <c r="A22" s="13"/>
      <c r="B22" s="17" t="s">
        <v>34</v>
      </c>
      <c r="C22" s="16" t="n">
        <f aca="false">C20/C4</f>
        <v>0.5</v>
      </c>
      <c r="D22" s="8"/>
    </row>
    <row r="23" customFormat="false" ht="12.8" hidden="false" customHeight="false" outlineLevel="0" collapsed="false">
      <c r="A23" s="13"/>
      <c r="B23" s="17" t="s">
        <v>35</v>
      </c>
      <c r="C23" s="16" t="n">
        <f aca="false">C20/C6</f>
        <v>0.214285714285714</v>
      </c>
      <c r="D23" s="8"/>
    </row>
    <row r="24" customFormat="false" ht="12.8" hidden="false" customHeight="false" outlineLevel="0" collapsed="false">
      <c r="A24" s="13"/>
      <c r="B24" s="14" t="s">
        <v>36</v>
      </c>
      <c r="C24" s="16" t="n">
        <f aca="false">(C6*C25)+C9</f>
        <v>86.0833333333333</v>
      </c>
      <c r="D24" s="8" t="s">
        <v>37</v>
      </c>
    </row>
    <row r="25" customFormat="false" ht="12.8" hidden="false" customHeight="true" outlineLevel="0" collapsed="false">
      <c r="A25" s="19" t="s">
        <v>38</v>
      </c>
      <c r="B25" s="20" t="s">
        <v>39</v>
      </c>
      <c r="C25" s="16" t="n">
        <f aca="false">(C9+C12)/C8</f>
        <v>1.05833333333333</v>
      </c>
      <c r="D25" s="8"/>
    </row>
    <row r="26" customFormat="false" ht="12.8" hidden="false" customHeight="false" outlineLevel="0" collapsed="false">
      <c r="A26" s="19"/>
      <c r="B26" s="20" t="s">
        <v>40</v>
      </c>
      <c r="C26" s="16" t="n">
        <f aca="false">C16*C14</f>
        <v>0.30175</v>
      </c>
      <c r="D26" s="8"/>
    </row>
    <row r="27" customFormat="false" ht="12.8" hidden="false" customHeight="false" outlineLevel="0" collapsed="false">
      <c r="A27" s="19"/>
      <c r="B27" s="20" t="s">
        <v>41</v>
      </c>
      <c r="C27" s="16" t="n">
        <f aca="false">C16+(C26/2)</f>
        <v>1.15670833333333</v>
      </c>
      <c r="D27" s="8"/>
    </row>
    <row r="28" customFormat="false" ht="12.8" hidden="false" customHeight="false" outlineLevel="0" collapsed="false">
      <c r="A28" s="21" t="s">
        <v>42</v>
      </c>
      <c r="B28" s="22" t="s">
        <v>43</v>
      </c>
      <c r="C28" s="23" t="n">
        <f aca="false">(0.00001*C13)/2</f>
        <v>2.5E-008</v>
      </c>
      <c r="D28" s="8" t="s">
        <v>44</v>
      </c>
    </row>
    <row r="29" customFormat="false" ht="12.8" hidden="false" customHeight="false" outlineLevel="0" collapsed="false">
      <c r="A29" s="21"/>
      <c r="B29" s="22" t="s">
        <v>45</v>
      </c>
      <c r="C29" s="24" t="n">
        <v>2.7E-008</v>
      </c>
      <c r="D29" s="8" t="s">
        <v>46</v>
      </c>
    </row>
    <row r="30" customFormat="false" ht="12.8" hidden="false" customHeight="false" outlineLevel="0" collapsed="false">
      <c r="A30" s="21"/>
      <c r="B30" s="22" t="s">
        <v>47</v>
      </c>
      <c r="C30" s="23" t="n">
        <f aca="false">(C29*2)/0.00001</f>
        <v>0.0054</v>
      </c>
      <c r="D30" s="8" t="s">
        <v>48</v>
      </c>
    </row>
    <row r="31" customFormat="false" ht="12.8" hidden="false" customHeight="false" outlineLevel="0" collapsed="false">
      <c r="A31" s="25" t="s">
        <v>49</v>
      </c>
      <c r="B31" s="26" t="s">
        <v>50</v>
      </c>
      <c r="C31" s="27" t="n">
        <f aca="false">C5/0.00002</f>
        <v>50000</v>
      </c>
      <c r="D31" s="8" t="s">
        <v>51</v>
      </c>
    </row>
    <row r="32" customFormat="false" ht="12.8" hidden="false" customHeight="false" outlineLevel="0" collapsed="false">
      <c r="A32" s="25"/>
      <c r="B32" s="26" t="s">
        <v>52</v>
      </c>
      <c r="C32" s="28" t="n">
        <v>49900</v>
      </c>
      <c r="D32" s="8" t="s">
        <v>53</v>
      </c>
    </row>
    <row r="33" customFormat="false" ht="12.8" hidden="false" customHeight="false" outlineLevel="0" collapsed="false">
      <c r="A33" s="25"/>
      <c r="B33" s="26" t="s">
        <v>54</v>
      </c>
      <c r="C33" s="16" t="n">
        <f aca="false">0.00002*C32</f>
        <v>0.998</v>
      </c>
      <c r="D33" s="8" t="s">
        <v>55</v>
      </c>
    </row>
    <row r="34" customFormat="false" ht="12.8" hidden="false" customHeight="false" outlineLevel="0" collapsed="false">
      <c r="A34" s="25"/>
      <c r="B34" s="26" t="s">
        <v>56</v>
      </c>
      <c r="C34" s="27" t="n">
        <f aca="false">C32/(C4/1.24-1)</f>
        <v>2151.46036161335</v>
      </c>
      <c r="D34" s="8" t="s">
        <v>57</v>
      </c>
    </row>
    <row r="35" customFormat="false" ht="12.8" hidden="false" customHeight="false" outlineLevel="0" collapsed="false">
      <c r="A35" s="25"/>
      <c r="B35" s="26" t="s">
        <v>58</v>
      </c>
      <c r="C35" s="28" t="n">
        <v>2000</v>
      </c>
      <c r="D35" s="8" t="s">
        <v>59</v>
      </c>
    </row>
    <row r="36" customFormat="false" ht="12.8" hidden="false" customHeight="false" outlineLevel="0" collapsed="false">
      <c r="A36" s="25"/>
      <c r="B36" s="26" t="s">
        <v>60</v>
      </c>
      <c r="C36" s="16" t="n">
        <f aca="false">1.24*(1+C32/C35)</f>
        <v>32.178</v>
      </c>
      <c r="D36" s="8" t="s">
        <v>61</v>
      </c>
    </row>
    <row r="37" customFormat="false" ht="12.8" hidden="false" customHeight="false" outlineLevel="0" collapsed="false">
      <c r="A37" s="25"/>
      <c r="B37" s="26" t="s">
        <v>62</v>
      </c>
      <c r="C37" s="16" t="n">
        <f aca="false">POWER((C6/(C32+C35)),2)*(C32+C35)</f>
        <v>0.0944123314065511</v>
      </c>
      <c r="D37" s="8" t="s">
        <v>63</v>
      </c>
    </row>
    <row r="38" customFormat="false" ht="12.8" hidden="false" customHeight="true" outlineLevel="0" collapsed="false">
      <c r="A38" s="29" t="s">
        <v>64</v>
      </c>
      <c r="B38" s="30" t="s">
        <v>65</v>
      </c>
      <c r="C38" s="31" t="n">
        <v>3000</v>
      </c>
      <c r="D38" s="8" t="s">
        <v>66</v>
      </c>
    </row>
    <row r="39" customFormat="false" ht="12.8" hidden="false" customHeight="false" outlineLevel="0" collapsed="false">
      <c r="A39" s="29"/>
      <c r="B39" s="30" t="s">
        <v>67</v>
      </c>
      <c r="C39" s="27" t="n">
        <f aca="false">C38/(C8/2-1)</f>
        <v>600</v>
      </c>
      <c r="D39" s="8" t="s">
        <v>68</v>
      </c>
    </row>
    <row r="40" customFormat="false" ht="12.8" hidden="false" customHeight="false" outlineLevel="0" collapsed="false">
      <c r="A40" s="29"/>
      <c r="B40" s="30" t="s">
        <v>69</v>
      </c>
      <c r="C40" s="32" t="n">
        <f aca="false">C8/(C38+C39)</f>
        <v>0.00333333333333333</v>
      </c>
      <c r="D40" s="8"/>
    </row>
    <row r="41" customFormat="false" ht="12.8" hidden="false" customHeight="false" outlineLevel="0" collapsed="false">
      <c r="A41" s="29"/>
      <c r="B41" s="30" t="s">
        <v>70</v>
      </c>
      <c r="C41" s="16" t="n">
        <f aca="false">POWER(C40,2)*(C38+C39)</f>
        <v>0.04</v>
      </c>
      <c r="D41" s="8"/>
    </row>
    <row r="42" customFormat="false" ht="12.8" hidden="false" customHeight="true" outlineLevel="0" collapsed="false">
      <c r="A42" s="33" t="s">
        <v>71</v>
      </c>
      <c r="B42" s="34" t="s">
        <v>72</v>
      </c>
      <c r="C42" s="27" t="n">
        <f aca="false">C8/(1.008*POWER(10,-10)*C15)</f>
        <v>476190.476190476</v>
      </c>
      <c r="D42" s="8"/>
    </row>
    <row r="43" customFormat="false" ht="12.8" hidden="false" customHeight="false" outlineLevel="0" collapsed="false">
      <c r="A43" s="33"/>
      <c r="B43" s="34" t="s">
        <v>73</v>
      </c>
      <c r="C43" s="28" t="n">
        <v>470000</v>
      </c>
      <c r="D43" s="8"/>
    </row>
    <row r="44" customFormat="false" ht="12.8" hidden="false" customHeight="false" outlineLevel="0" collapsed="false">
      <c r="A44" s="33"/>
      <c r="B44" s="34" t="s">
        <v>74</v>
      </c>
      <c r="C44" s="27" t="n">
        <f aca="false">C8/(1.008*POWER(10,-10)*C43)</f>
        <v>253292.806484296</v>
      </c>
      <c r="D44" s="8"/>
    </row>
    <row r="45" customFormat="false" ht="12.8" hidden="false" customHeight="false" outlineLevel="0" collapsed="false">
      <c r="A45" s="33"/>
      <c r="B45" s="34" t="s">
        <v>75</v>
      </c>
      <c r="C45" s="23" t="n">
        <f aca="false">(1.008*POWER(10,-10)*C43)/C3</f>
        <v>9.4752E-007</v>
      </c>
      <c r="D45" s="8"/>
    </row>
    <row r="46" customFormat="false" ht="12.8" hidden="false" customHeight="false" outlineLevel="0" collapsed="false">
      <c r="A46" s="33"/>
      <c r="B46" s="34" t="s">
        <v>76</v>
      </c>
      <c r="C46" s="23" t="n">
        <f aca="false">(1.008*POWER(10,-10)*C43)/C4</f>
        <v>1.5792E-006</v>
      </c>
      <c r="D46" s="8"/>
    </row>
    <row r="47" customFormat="false" ht="12.8" hidden="false" customHeight="false" outlineLevel="0" collapsed="false">
      <c r="A47" s="33"/>
      <c r="B47" s="34" t="s">
        <v>77</v>
      </c>
      <c r="C47" s="23" t="n">
        <f aca="false">(1.008*POWER(10,-10)*C43)/C6</f>
        <v>6.768E-007</v>
      </c>
      <c r="D47" s="8"/>
    </row>
    <row r="48" customFormat="false" ht="12.8" hidden="false" customHeight="true" outlineLevel="0" collapsed="false">
      <c r="A48" s="35" t="s">
        <v>78</v>
      </c>
      <c r="B48" s="36" t="s">
        <v>79</v>
      </c>
      <c r="C48" s="32" t="n">
        <f aca="false">(C8*(C6-C8))/(C6*C15*C16*C14)</f>
        <v>0.000131802580187004</v>
      </c>
      <c r="D48" s="8"/>
    </row>
    <row r="49" customFormat="false" ht="12.9" hidden="false" customHeight="false" outlineLevel="0" collapsed="false">
      <c r="A49" s="35"/>
      <c r="B49" s="36" t="s">
        <v>80</v>
      </c>
      <c r="C49" s="16" t="n">
        <f aca="false">(C8*(C4-C8))/(C4*C15*C48)</f>
        <v>0.218508620689655</v>
      </c>
      <c r="D49" s="8"/>
    </row>
    <row r="50" customFormat="false" ht="12.9" hidden="false" customHeight="false" outlineLevel="0" collapsed="false">
      <c r="A50" s="35"/>
      <c r="B50" s="36" t="s">
        <v>81</v>
      </c>
      <c r="C50" s="16" t="n">
        <f aca="false">(C8*(C6-C8))/(C6*C15*C48)</f>
        <v>0.30175</v>
      </c>
      <c r="D50" s="8"/>
    </row>
    <row r="51" customFormat="false" ht="12.8" hidden="false" customHeight="false" outlineLevel="0" collapsed="false">
      <c r="A51" s="35"/>
      <c r="B51" s="36" t="s">
        <v>82</v>
      </c>
      <c r="C51" s="16" t="n">
        <f aca="false">C16+(C50/2)</f>
        <v>1.15670833333333</v>
      </c>
      <c r="D51" s="8"/>
    </row>
    <row r="52" customFormat="false" ht="12.9" hidden="false" customHeight="false" outlineLevel="0" collapsed="false">
      <c r="A52" s="35"/>
      <c r="B52" s="36" t="s">
        <v>83</v>
      </c>
      <c r="C52" s="16" t="n">
        <f aca="false">ind_l1_s!G24+ind_l2_p!G24+ind_l3_s!G24+ind_l4_p!G24</f>
        <v>0.19887768512987</v>
      </c>
      <c r="D52" s="8" t="s">
        <v>84</v>
      </c>
    </row>
    <row r="53" customFormat="false" ht="12.9" hidden="false" customHeight="true" outlineLevel="0" collapsed="false">
      <c r="A53" s="37" t="s">
        <v>85</v>
      </c>
      <c r="B53" s="38" t="s">
        <v>86</v>
      </c>
      <c r="C53" s="27" t="n">
        <f aca="false">(1/((1/C38)+(1/C39)))/10</f>
        <v>50</v>
      </c>
      <c r="D53" s="8" t="s">
        <v>87</v>
      </c>
    </row>
    <row r="54" customFormat="false" ht="12.8" hidden="false" customHeight="false" outlineLevel="0" collapsed="false">
      <c r="A54" s="37"/>
      <c r="B54" s="38" t="s">
        <v>88</v>
      </c>
      <c r="C54" s="23" t="n">
        <f aca="false">1/(2*PI()*C15*C53)</f>
        <v>1.27323954473516E-008</v>
      </c>
      <c r="D54" s="8"/>
    </row>
    <row r="55" customFormat="false" ht="12.8" hidden="false" customHeight="false" outlineLevel="0" collapsed="false">
      <c r="A55" s="37"/>
      <c r="B55" s="38" t="s">
        <v>89</v>
      </c>
      <c r="C55" s="24" t="n">
        <v>1.2E-008</v>
      </c>
      <c r="D55" s="8"/>
    </row>
    <row r="56" customFormat="false" ht="12.8" hidden="false" customHeight="false" outlineLevel="0" collapsed="false">
      <c r="A56" s="37"/>
      <c r="B56" s="38" t="s">
        <v>90</v>
      </c>
      <c r="C56" s="39" t="n">
        <v>0.05</v>
      </c>
      <c r="D56" s="8"/>
    </row>
    <row r="57" customFormat="false" ht="12.8" hidden="false" customHeight="false" outlineLevel="0" collapsed="false">
      <c r="A57" s="37"/>
      <c r="B57" s="38" t="s">
        <v>91</v>
      </c>
      <c r="C57" s="23" t="n">
        <f aca="false">(C55*C56)/C47</f>
        <v>0.000886524822695036</v>
      </c>
      <c r="D57" s="8"/>
    </row>
    <row r="58" customFormat="false" ht="12.8" hidden="false" customHeight="false" outlineLevel="0" collapsed="false">
      <c r="A58" s="37"/>
      <c r="B58" s="38" t="s">
        <v>92</v>
      </c>
      <c r="C58" s="27" t="n">
        <f aca="false">(C6-C8)/C57</f>
        <v>65424</v>
      </c>
      <c r="D58" s="8"/>
    </row>
    <row r="59" customFormat="false" ht="12.8" hidden="false" customHeight="false" outlineLevel="0" collapsed="false">
      <c r="A59" s="37"/>
      <c r="B59" s="38" t="s">
        <v>93</v>
      </c>
      <c r="C59" s="12" t="n">
        <v>62000</v>
      </c>
      <c r="D59" s="8"/>
    </row>
    <row r="60" customFormat="false" ht="12.9" hidden="false" customHeight="false" outlineLevel="0" collapsed="false">
      <c r="A60" s="37"/>
      <c r="B60" s="38" t="s">
        <v>94</v>
      </c>
      <c r="C60" s="23" t="n">
        <f aca="false">C55*4</f>
        <v>4.8E-008</v>
      </c>
      <c r="D60" s="8" t="s">
        <v>95</v>
      </c>
    </row>
    <row r="61" customFormat="false" ht="12.8" hidden="false" customHeight="false" outlineLevel="0" collapsed="false">
      <c r="A61" s="37"/>
      <c r="B61" s="38" t="s">
        <v>96</v>
      </c>
      <c r="C61" s="24" t="n">
        <v>5.6E-008</v>
      </c>
      <c r="D61" s="8"/>
    </row>
    <row r="62" customFormat="false" ht="12.8" hidden="false" customHeight="true" outlineLevel="0" collapsed="false">
      <c r="A62" s="40" t="s">
        <v>97</v>
      </c>
      <c r="B62" s="41" t="s">
        <v>98</v>
      </c>
      <c r="C62" s="39" t="n">
        <v>0.05</v>
      </c>
      <c r="D62" s="1" t="s">
        <v>99</v>
      </c>
    </row>
    <row r="63" customFormat="false" ht="12.8" hidden="false" customHeight="false" outlineLevel="0" collapsed="false">
      <c r="A63" s="40"/>
      <c r="B63" s="41" t="s">
        <v>100</v>
      </c>
      <c r="C63" s="23" t="n">
        <f aca="false">(C27*0.5*(1-0.5))/(C62*C44)</f>
        <v>2.28334225E-005</v>
      </c>
      <c r="D63" s="1" t="s">
        <v>101</v>
      </c>
    </row>
    <row r="64" customFormat="false" ht="12.8" hidden="false" customHeight="true" outlineLevel="0" collapsed="false">
      <c r="A64" s="42" t="s">
        <v>102</v>
      </c>
      <c r="B64" s="43" t="s">
        <v>103</v>
      </c>
      <c r="C64" s="39" t="n">
        <v>0.025</v>
      </c>
      <c r="D64" s="1" t="s">
        <v>99</v>
      </c>
    </row>
    <row r="65" customFormat="false" ht="12.8" hidden="false" customHeight="false" outlineLevel="0" collapsed="false">
      <c r="A65" s="42"/>
      <c r="B65" s="43" t="s">
        <v>104</v>
      </c>
      <c r="C65" s="23" t="n">
        <f aca="false">C50/(8*C44*C64)</f>
        <v>5.956545E-006</v>
      </c>
      <c r="D65" s="1" t="s">
        <v>105</v>
      </c>
    </row>
    <row r="66" customFormat="false" ht="12.8" hidden="false" customHeight="true" outlineLevel="0" collapsed="false">
      <c r="A66" s="44" t="s">
        <v>106</v>
      </c>
      <c r="B66" s="45" t="s">
        <v>107</v>
      </c>
      <c r="C66" s="39" t="n">
        <v>0.025</v>
      </c>
      <c r="D66" s="1" t="s">
        <v>99</v>
      </c>
    </row>
    <row r="67" customFormat="false" ht="12.8" hidden="false" customHeight="false" outlineLevel="0" collapsed="false">
      <c r="A67" s="44"/>
      <c r="B67" s="45" t="s">
        <v>108</v>
      </c>
      <c r="C67" s="23" t="n">
        <f aca="false">(C11/C66)*(C12/C4)*(1/C44)</f>
        <v>3.6848E-007</v>
      </c>
      <c r="D67" s="8" t="s">
        <v>109</v>
      </c>
    </row>
  </sheetData>
  <mergeCells count="13">
    <mergeCell ref="A1:D1"/>
    <mergeCell ref="A3:A15"/>
    <mergeCell ref="A16:A24"/>
    <mergeCell ref="A25:A27"/>
    <mergeCell ref="A28:A30"/>
    <mergeCell ref="A31:A37"/>
    <mergeCell ref="A38:A41"/>
    <mergeCell ref="A42:A47"/>
    <mergeCell ref="A48:A52"/>
    <mergeCell ref="A53:A61"/>
    <mergeCell ref="A62:A63"/>
    <mergeCell ref="A64:A65"/>
    <mergeCell ref="A66:A67"/>
  </mergeCells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42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46" width="14.45"/>
    <col collapsed="false" customWidth="true" hidden="false" outlineLevel="0" max="2" min="2" style="46" width="50.51"/>
    <col collapsed="false" customWidth="true" hidden="false" outlineLevel="0" max="3" min="3" style="46" width="23.28"/>
    <col collapsed="false" customWidth="true" hidden="false" outlineLevel="0" max="4" min="4" style="46" width="13.33"/>
    <col collapsed="false" customWidth="true" hidden="false" outlineLevel="0" max="5" min="5" style="46" width="13.7"/>
    <col collapsed="false" customWidth="true" hidden="false" outlineLevel="0" max="10" min="6" style="46" width="14.45"/>
    <col collapsed="false" customWidth="true" hidden="false" outlineLevel="0" max="11" min="11" style="46" width="22.27"/>
    <col collapsed="false" customWidth="true" hidden="false" outlineLevel="0" max="64" min="12" style="46" width="14.45"/>
  </cols>
  <sheetData>
    <row r="1" customFormat="false" ht="12.8" hidden="false" customHeight="false" outlineLevel="0" collapsed="false">
      <c r="A1" s="47"/>
      <c r="B1" s="48" t="s">
        <v>110</v>
      </c>
      <c r="C1" s="48" t="s">
        <v>3</v>
      </c>
      <c r="D1" s="49" t="s">
        <v>4</v>
      </c>
      <c r="E1" s="49"/>
      <c r="F1" s="49"/>
      <c r="G1" s="49"/>
      <c r="H1" s="49"/>
    </row>
    <row r="2" customFormat="false" ht="16" hidden="false" customHeight="true" outlineLevel="0" collapsed="false">
      <c r="A2" s="50" t="s">
        <v>111</v>
      </c>
      <c r="B2" s="51" t="s">
        <v>112</v>
      </c>
      <c r="C2" s="52" t="n">
        <v>28</v>
      </c>
      <c r="D2" s="53"/>
      <c r="E2" s="54" t="s">
        <v>113</v>
      </c>
      <c r="F2" s="54"/>
      <c r="G2" s="54"/>
      <c r="H2" s="54"/>
    </row>
    <row r="3" customFormat="false" ht="12.8" hidden="false" customHeight="false" outlineLevel="0" collapsed="false">
      <c r="A3" s="50"/>
      <c r="B3" s="55" t="s">
        <v>114</v>
      </c>
      <c r="C3" s="56" t="n">
        <v>23</v>
      </c>
      <c r="D3" s="57" t="n">
        <f aca="false">C3*0.475</f>
        <v>10.925</v>
      </c>
      <c r="E3" s="54"/>
      <c r="F3" s="54"/>
      <c r="G3" s="54"/>
      <c r="H3" s="54"/>
      <c r="L3" s="58"/>
    </row>
    <row r="4" customFormat="false" ht="12.8" hidden="false" customHeight="false" outlineLevel="0" collapsed="false">
      <c r="A4" s="50"/>
      <c r="B4" s="55" t="s">
        <v>115</v>
      </c>
      <c r="C4" s="56" t="n">
        <v>1</v>
      </c>
      <c r="D4" s="57"/>
      <c r="E4" s="54"/>
      <c r="F4" s="54"/>
      <c r="G4" s="54"/>
      <c r="H4" s="54"/>
      <c r="L4" s="58"/>
    </row>
    <row r="5" customFormat="false" ht="12.8" hidden="false" customHeight="false" outlineLevel="0" collapsed="false">
      <c r="A5" s="50"/>
      <c r="B5" s="55" t="s">
        <v>116</v>
      </c>
      <c r="C5" s="59" t="n">
        <v>0</v>
      </c>
      <c r="D5" s="57"/>
      <c r="E5" s="54"/>
      <c r="F5" s="54"/>
      <c r="G5" s="54"/>
      <c r="H5" s="54"/>
      <c r="L5" s="58"/>
    </row>
    <row r="6" customFormat="false" ht="12.8" hidden="false" customHeight="false" outlineLevel="0" collapsed="false">
      <c r="A6" s="50"/>
      <c r="B6" s="55" t="s">
        <v>117</v>
      </c>
      <c r="C6" s="60" t="n">
        <f aca="false">VLOOKUP(C2,wireawg!$A$5:$L$44,8,0)</f>
        <v>0.00081</v>
      </c>
      <c r="D6" s="61"/>
      <c r="E6" s="54"/>
      <c r="F6" s="54"/>
      <c r="G6" s="54"/>
      <c r="H6" s="54"/>
    </row>
    <row r="7" customFormat="false" ht="12.8" hidden="false" customHeight="false" outlineLevel="0" collapsed="false">
      <c r="A7" s="50"/>
      <c r="B7" s="55" t="s">
        <v>118</v>
      </c>
      <c r="C7" s="62" t="n">
        <f aca="false">VLOOKUP(C2,wireawg!$A$5:$L$44,11,0)</f>
        <v>2129</v>
      </c>
      <c r="D7" s="61"/>
      <c r="E7" s="54"/>
      <c r="F7" s="54"/>
      <c r="G7" s="54"/>
      <c r="H7" s="54"/>
    </row>
    <row r="8" customFormat="false" ht="12.8" hidden="false" customHeight="false" outlineLevel="0" collapsed="false">
      <c r="A8" s="50"/>
      <c r="B8" s="63" t="s">
        <v>119</v>
      </c>
      <c r="C8" s="64" t="n">
        <f aca="false">VLOOKUP(C2,wireawg!$A$5:$L$44,4,0)</f>
        <v>0.373</v>
      </c>
      <c r="D8" s="65"/>
      <c r="E8" s="54"/>
      <c r="F8" s="54"/>
      <c r="G8" s="54"/>
      <c r="H8" s="54"/>
    </row>
    <row r="9" customFormat="false" ht="12.8" hidden="false" customHeight="false" outlineLevel="0" collapsed="false">
      <c r="A9" s="50"/>
      <c r="B9" s="66" t="s">
        <v>120</v>
      </c>
      <c r="C9" s="67" t="s">
        <v>121</v>
      </c>
      <c r="D9" s="68"/>
      <c r="E9" s="54"/>
      <c r="F9" s="54"/>
      <c r="G9" s="54"/>
      <c r="H9" s="54"/>
    </row>
    <row r="10" customFormat="false" ht="12.8" hidden="false" customHeight="false" outlineLevel="0" collapsed="false">
      <c r="A10" s="50"/>
      <c r="B10" s="55" t="s">
        <v>122</v>
      </c>
      <c r="C10" s="69" t="s">
        <v>123</v>
      </c>
      <c r="D10" s="61"/>
      <c r="E10" s="54"/>
      <c r="F10" s="54"/>
      <c r="G10" s="54"/>
      <c r="H10" s="54"/>
    </row>
    <row r="11" customFormat="false" ht="12.8" hidden="false" customHeight="false" outlineLevel="0" collapsed="false">
      <c r="A11" s="50"/>
      <c r="B11" s="55" t="s">
        <v>124</v>
      </c>
      <c r="C11" s="70" t="n">
        <f aca="false">13.5/10</f>
        <v>1.35</v>
      </c>
      <c r="D11" s="71" t="n">
        <f aca="false">C11+(C5*2)</f>
        <v>1.35</v>
      </c>
      <c r="E11" s="54"/>
      <c r="F11" s="54"/>
      <c r="G11" s="54"/>
      <c r="H11" s="54"/>
    </row>
    <row r="12" customFormat="false" ht="12.8" hidden="false" customHeight="false" outlineLevel="0" collapsed="false">
      <c r="A12" s="50"/>
      <c r="B12" s="55" t="s">
        <v>125</v>
      </c>
      <c r="C12" s="70" t="n">
        <f aca="false">6.98/10</f>
        <v>0.698</v>
      </c>
      <c r="D12" s="72" t="n">
        <f aca="false">C12-(C5*2)</f>
        <v>0.698</v>
      </c>
      <c r="E12" s="54"/>
      <c r="F12" s="54"/>
      <c r="G12" s="54"/>
      <c r="H12" s="54"/>
    </row>
    <row r="13" customFormat="false" ht="12.8" hidden="false" customHeight="false" outlineLevel="0" collapsed="false">
      <c r="A13" s="50"/>
      <c r="B13" s="55" t="s">
        <v>126</v>
      </c>
      <c r="C13" s="70" t="n">
        <f aca="false">5.52/10</f>
        <v>0.552</v>
      </c>
      <c r="D13" s="72" t="n">
        <f aca="false">C13+(C5*2)</f>
        <v>0.552</v>
      </c>
      <c r="E13" s="54"/>
      <c r="F13" s="54"/>
      <c r="G13" s="54"/>
      <c r="H13" s="54"/>
    </row>
    <row r="14" customFormat="false" ht="14.9" hidden="false" customHeight="false" outlineLevel="0" collapsed="false">
      <c r="A14" s="50"/>
      <c r="B14" s="55" t="s">
        <v>127</v>
      </c>
      <c r="C14" s="73" t="n">
        <v>72</v>
      </c>
      <c r="D14" s="72"/>
      <c r="E14" s="54"/>
      <c r="F14" s="54"/>
      <c r="G14" s="54"/>
      <c r="H14" s="54"/>
    </row>
    <row r="15" customFormat="false" ht="12.8" hidden="false" customHeight="false" outlineLevel="0" collapsed="false">
      <c r="A15" s="50"/>
      <c r="B15" s="63" t="s">
        <v>128</v>
      </c>
      <c r="C15" s="74" t="n">
        <v>0.08</v>
      </c>
      <c r="D15" s="75"/>
      <c r="E15" s="54"/>
      <c r="F15" s="54"/>
      <c r="G15" s="54"/>
      <c r="H15" s="54"/>
    </row>
    <row r="16" customFormat="false" ht="12.8" hidden="false" customHeight="false" outlineLevel="0" collapsed="false">
      <c r="A16" s="50"/>
      <c r="B16" s="76" t="str">
        <f aca="false">"Design inductance, -"&amp;TEXT(C15,"#%")&amp;", H ="</f>
        <v>Design inductance, -8%, H =</v>
      </c>
      <c r="C16" s="77" t="n">
        <f aca="false">((C14*(1-C15))*POWER(10,-9))*POWER(C3,2)</f>
        <v>3.504096E-005</v>
      </c>
      <c r="D16" s="78"/>
      <c r="E16" s="54"/>
      <c r="F16" s="54"/>
      <c r="G16" s="54"/>
      <c r="H16" s="54"/>
    </row>
    <row r="17" customFormat="false" ht="12.8" hidden="false" customHeight="false" outlineLevel="0" collapsed="false">
      <c r="A17" s="50"/>
      <c r="B17" s="55" t="s">
        <v>129</v>
      </c>
      <c r="C17" s="79" t="n">
        <f aca="false">PI()*D12</f>
        <v>2.19283167220568</v>
      </c>
      <c r="D17" s="61"/>
      <c r="E17" s="54"/>
      <c r="F17" s="54"/>
      <c r="G17" s="54"/>
      <c r="H17" s="54"/>
    </row>
    <row r="18" customFormat="false" ht="12.8" hidden="false" customHeight="false" outlineLevel="0" collapsed="false">
      <c r="A18" s="50"/>
      <c r="B18" s="80" t="str">
        <f aca="false">"Turns possible with "&amp;TEXT(C4,"#")&amp;" strands of "&amp;TEXT(C2,"#")&amp;" AWG ="</f>
        <v>Turns possible with 1 strands of 28 AWG =</v>
      </c>
      <c r="C18" s="79" t="n">
        <f aca="false">C17/((C8*C4)/10)</f>
        <v>58.7890528741468</v>
      </c>
      <c r="D18" s="61"/>
      <c r="E18" s="54"/>
      <c r="F18" s="54"/>
      <c r="G18" s="54"/>
      <c r="H18" s="54"/>
    </row>
    <row r="19" customFormat="false" ht="12.8" hidden="false" customHeight="false" outlineLevel="0" collapsed="false">
      <c r="A19" s="50"/>
      <c r="B19" s="55" t="s">
        <v>130</v>
      </c>
      <c r="C19" s="81" t="n">
        <f aca="false">(D11-D12)+2*D13</f>
        <v>1.756</v>
      </c>
      <c r="D19" s="61"/>
      <c r="E19" s="54"/>
      <c r="F19" s="54"/>
      <c r="G19" s="54"/>
      <c r="H19" s="54"/>
    </row>
    <row r="20" customFormat="false" ht="12.8" hidden="false" customHeight="false" outlineLevel="0" collapsed="false">
      <c r="A20" s="50"/>
      <c r="B20" s="55" t="s">
        <v>131</v>
      </c>
      <c r="C20" s="82" t="n">
        <f aca="false">(C4*C8)/10</f>
        <v>0.0373</v>
      </c>
      <c r="D20" s="57"/>
      <c r="E20" s="54"/>
      <c r="F20" s="54"/>
      <c r="G20" s="54"/>
      <c r="H20" s="54"/>
    </row>
    <row r="21" customFormat="false" ht="12.8" hidden="false" customHeight="false" outlineLevel="0" collapsed="false">
      <c r="A21" s="50"/>
      <c r="B21" s="80" t="str">
        <f aca="false">"Estimated wire len per strand using "&amp;TEXT(C2,"#")&amp;" AWG, cm ="</f>
        <v>Estimated wire len per strand using 28 AWG, cm =</v>
      </c>
      <c r="C21" s="81" t="n">
        <f aca="false">C19*C3</f>
        <v>40.388</v>
      </c>
      <c r="D21" s="61"/>
      <c r="E21" s="54"/>
      <c r="F21" s="54"/>
      <c r="G21" s="54"/>
      <c r="H21" s="54"/>
    </row>
    <row r="22" customFormat="false" ht="12.8" hidden="false" customHeight="false" outlineLevel="0" collapsed="false">
      <c r="A22" s="50"/>
      <c r="B22" s="83" t="s">
        <v>132</v>
      </c>
      <c r="C22" s="84" t="n">
        <f aca="false">(E24*C7*POWER(10,-6))/C4</f>
        <v>0.085986052</v>
      </c>
      <c r="D22" s="85"/>
      <c r="E22" s="54"/>
      <c r="F22" s="54"/>
      <c r="G22" s="54"/>
      <c r="H22" s="54"/>
    </row>
    <row r="23" customFormat="false" ht="16" hidden="false" customHeight="true" outlineLevel="0" collapsed="false">
      <c r="A23" s="86" t="s">
        <v>133</v>
      </c>
      <c r="B23" s="87"/>
      <c r="C23" s="88"/>
      <c r="D23" s="89" t="s">
        <v>134</v>
      </c>
      <c r="E23" s="90" t="s">
        <v>135</v>
      </c>
      <c r="F23" s="91" t="s">
        <v>136</v>
      </c>
      <c r="G23" s="91" t="s">
        <v>137</v>
      </c>
      <c r="H23" s="92"/>
    </row>
    <row r="24" customFormat="false" ht="12.8" hidden="false" customHeight="false" outlineLevel="0" collapsed="false">
      <c r="A24" s="86"/>
      <c r="B24" s="93"/>
      <c r="C24" s="94"/>
      <c r="D24" s="95" t="n">
        <f aca="false">SUM(D25:D41)</f>
        <v>23</v>
      </c>
      <c r="E24" s="95" t="n">
        <f aca="false">SUM(E25:E41)</f>
        <v>40.388</v>
      </c>
      <c r="F24" s="96" t="n">
        <f aca="false">(VLOOKUP(C2,wireawg!$A$5:$L$44,11,0)*POWER(10,-6))*E24</f>
        <v>0.085986052</v>
      </c>
      <c r="G24" s="97" t="n">
        <f aca="false">POWER(design!C11,2)*F24</f>
        <v>0.00085986052</v>
      </c>
      <c r="H24" s="92"/>
    </row>
    <row r="25" customFormat="false" ht="12.8" hidden="false" customHeight="false" outlineLevel="0" collapsed="false">
      <c r="A25" s="86"/>
      <c r="B25" s="98" t="s">
        <v>138</v>
      </c>
      <c r="C25" s="99" t="n">
        <f aca="false">C19</f>
        <v>1.756</v>
      </c>
      <c r="D25" s="95"/>
      <c r="E25" s="100"/>
      <c r="F25" s="88"/>
      <c r="G25" s="88"/>
      <c r="H25" s="92"/>
    </row>
    <row r="26" customFormat="false" ht="12.8" hidden="false" customHeight="false" outlineLevel="0" collapsed="false">
      <c r="A26" s="86"/>
      <c r="B26" s="101" t="s">
        <v>139</v>
      </c>
      <c r="C26" s="99" t="n">
        <f aca="false">D12</f>
        <v>0.698</v>
      </c>
      <c r="D26" s="95"/>
      <c r="E26" s="100"/>
      <c r="F26" s="88"/>
      <c r="G26" s="88"/>
      <c r="H26" s="92"/>
    </row>
    <row r="27" customFormat="false" ht="12.8" hidden="false" customHeight="false" outlineLevel="0" collapsed="false">
      <c r="A27" s="86"/>
      <c r="B27" s="98" t="s">
        <v>140</v>
      </c>
      <c r="C27" s="99" t="n">
        <f aca="false">C26/2</f>
        <v>0.349</v>
      </c>
      <c r="D27" s="95"/>
      <c r="E27" s="100"/>
      <c r="F27" s="88"/>
      <c r="G27" s="88"/>
      <c r="H27" s="92"/>
    </row>
    <row r="28" customFormat="false" ht="12.8" hidden="false" customHeight="false" outlineLevel="0" collapsed="false">
      <c r="A28" s="86"/>
      <c r="B28" s="102" t="s">
        <v>141</v>
      </c>
      <c r="C28" s="99" t="n">
        <f aca="false">PI()*2*C27</f>
        <v>2.19283167220568</v>
      </c>
      <c r="D28" s="95"/>
      <c r="E28" s="100"/>
      <c r="F28" s="88"/>
      <c r="G28" s="88"/>
      <c r="H28" s="92"/>
    </row>
    <row r="29" customFormat="false" ht="12.8" hidden="false" customHeight="false" outlineLevel="0" collapsed="false">
      <c r="A29" s="86"/>
      <c r="B29" s="103" t="s">
        <v>142</v>
      </c>
      <c r="C29" s="104" t="n">
        <f aca="false">ROUNDDOWN(C28/C20,0)</f>
        <v>58</v>
      </c>
      <c r="D29" s="105" t="n">
        <f aca="false">ROUNDDOWN(IF(C29&lt;C3,C29,C3),0)</f>
        <v>23</v>
      </c>
      <c r="E29" s="106" t="n">
        <f aca="false">C25*D29</f>
        <v>40.388</v>
      </c>
      <c r="F29" s="88"/>
      <c r="G29" s="107"/>
      <c r="H29" s="92"/>
    </row>
    <row r="30" customFormat="false" ht="12.8" hidden="false" customHeight="false" outlineLevel="0" collapsed="false">
      <c r="A30" s="86"/>
      <c r="B30" s="101" t="s">
        <v>143</v>
      </c>
      <c r="C30" s="94" t="n">
        <f aca="false">C25+((C8/10)*4)</f>
        <v>1.9052</v>
      </c>
      <c r="D30" s="95"/>
      <c r="E30" s="100"/>
      <c r="F30" s="88"/>
      <c r="G30" s="88"/>
      <c r="H30" s="92"/>
    </row>
    <row r="31" customFormat="false" ht="12.8" hidden="false" customHeight="false" outlineLevel="0" collapsed="false">
      <c r="A31" s="86"/>
      <c r="B31" s="101" t="s">
        <v>144</v>
      </c>
      <c r="C31" s="94" t="n">
        <f aca="false">C27-(C8/10)</f>
        <v>0.3117</v>
      </c>
      <c r="D31" s="95"/>
      <c r="E31" s="100"/>
      <c r="F31" s="88"/>
      <c r="G31" s="88"/>
      <c r="H31" s="92"/>
    </row>
    <row r="32" customFormat="false" ht="12.8" hidden="false" customHeight="false" outlineLevel="0" collapsed="false">
      <c r="A32" s="86"/>
      <c r="B32" s="102" t="s">
        <v>145</v>
      </c>
      <c r="C32" s="94" t="n">
        <f aca="false">2*PI()*C31</f>
        <v>1.95846886024788</v>
      </c>
      <c r="D32" s="95"/>
      <c r="E32" s="100"/>
      <c r="F32" s="88"/>
      <c r="G32" s="88"/>
      <c r="H32" s="92"/>
    </row>
    <row r="33" customFormat="false" ht="12.8" hidden="false" customHeight="false" outlineLevel="0" collapsed="false">
      <c r="A33" s="86"/>
      <c r="B33" s="103" t="s">
        <v>146</v>
      </c>
      <c r="C33" s="104" t="n">
        <f aca="false">ROUNDDOWN(C32/C20,0)</f>
        <v>52</v>
      </c>
      <c r="D33" s="105" t="n">
        <f aca="false">ROUNDDOWN(IF(IF((C29+C33)&lt;C3,C33,C3-C29)&gt;0,IF((C29+C33)&lt;C3,C33,C3-C29),0),0)</f>
        <v>0</v>
      </c>
      <c r="E33" s="106" t="n">
        <f aca="false">C30*D33</f>
        <v>0</v>
      </c>
      <c r="F33" s="88"/>
      <c r="G33" s="107"/>
      <c r="H33" s="92"/>
    </row>
    <row r="34" customFormat="false" ht="12.8" hidden="false" customHeight="false" outlineLevel="0" collapsed="false">
      <c r="A34" s="86"/>
      <c r="B34" s="101" t="s">
        <v>147</v>
      </c>
      <c r="C34" s="94" t="n">
        <f aca="false">C30+((C8/10)*4)</f>
        <v>2.0544</v>
      </c>
      <c r="D34" s="95"/>
      <c r="E34" s="100"/>
      <c r="F34" s="88"/>
      <c r="G34" s="88"/>
      <c r="H34" s="92"/>
    </row>
    <row r="35" customFormat="false" ht="12.8" hidden="false" customHeight="false" outlineLevel="0" collapsed="false">
      <c r="A35" s="86"/>
      <c r="B35" s="101" t="s">
        <v>148</v>
      </c>
      <c r="C35" s="99" t="n">
        <f aca="false">C31-(C8/10)</f>
        <v>0.2744</v>
      </c>
      <c r="D35" s="95"/>
      <c r="E35" s="100"/>
      <c r="F35" s="88"/>
      <c r="G35" s="88"/>
      <c r="H35" s="92"/>
    </row>
    <row r="36" customFormat="false" ht="12.8" hidden="false" customHeight="false" outlineLevel="0" collapsed="false">
      <c r="A36" s="86"/>
      <c r="B36" s="102" t="s">
        <v>149</v>
      </c>
      <c r="C36" s="99" t="n">
        <f aca="false">2*PI()*C35</f>
        <v>1.72410604829008</v>
      </c>
      <c r="D36" s="95"/>
      <c r="E36" s="100"/>
      <c r="F36" s="88"/>
      <c r="G36" s="88"/>
      <c r="H36" s="92"/>
    </row>
    <row r="37" customFormat="false" ht="12.8" hidden="false" customHeight="false" outlineLevel="0" collapsed="false">
      <c r="A37" s="86"/>
      <c r="B37" s="103" t="s">
        <v>150</v>
      </c>
      <c r="C37" s="108" t="n">
        <f aca="false">ROUNDDOWN(C36/C20,0)</f>
        <v>46</v>
      </c>
      <c r="D37" s="105" t="n">
        <f aca="false">ROUNDDOWN(IF(IF((C29+C33+C37)&lt;C3,C37,C3-(C29+C33))&gt;0,IF((C29+C33+C37)&lt;C3,C37,C3-(C29+C33)),0),0)</f>
        <v>0</v>
      </c>
      <c r="E37" s="106" t="n">
        <f aca="false">C34*D37</f>
        <v>0</v>
      </c>
      <c r="F37" s="88"/>
      <c r="G37" s="107"/>
      <c r="H37" s="92"/>
    </row>
    <row r="38" customFormat="false" ht="12.8" hidden="false" customHeight="false" outlineLevel="0" collapsed="false">
      <c r="A38" s="86"/>
      <c r="B38" s="101" t="s">
        <v>151</v>
      </c>
      <c r="C38" s="94" t="n">
        <f aca="false">C34+((C8/10)*4)</f>
        <v>2.2036</v>
      </c>
      <c r="D38" s="95"/>
      <c r="E38" s="100"/>
      <c r="F38" s="88"/>
      <c r="G38" s="88"/>
      <c r="H38" s="92"/>
    </row>
    <row r="39" customFormat="false" ht="12.8" hidden="false" customHeight="false" outlineLevel="0" collapsed="false">
      <c r="A39" s="86"/>
      <c r="B39" s="101" t="s">
        <v>152</v>
      </c>
      <c r="C39" s="99" t="n">
        <f aca="false">C35-(C8/10)</f>
        <v>0.2371</v>
      </c>
      <c r="D39" s="95"/>
      <c r="E39" s="100"/>
      <c r="F39" s="88"/>
      <c r="G39" s="88"/>
      <c r="H39" s="92"/>
    </row>
    <row r="40" customFormat="false" ht="12.8" hidden="false" customHeight="false" outlineLevel="0" collapsed="false">
      <c r="A40" s="86"/>
      <c r="B40" s="102" t="s">
        <v>153</v>
      </c>
      <c r="C40" s="99" t="n">
        <f aca="false">2*PI()*C39</f>
        <v>1.48974323633228</v>
      </c>
      <c r="D40" s="95"/>
      <c r="E40" s="100"/>
      <c r="F40" s="88"/>
      <c r="G40" s="88"/>
      <c r="H40" s="92"/>
    </row>
    <row r="41" customFormat="false" ht="12.8" hidden="false" customHeight="false" outlineLevel="0" collapsed="false">
      <c r="A41" s="86"/>
      <c r="B41" s="103" t="s">
        <v>154</v>
      </c>
      <c r="C41" s="108" t="n">
        <f aca="false">ROUNDDOWN(C40/C20,0)</f>
        <v>39</v>
      </c>
      <c r="D41" s="105" t="n">
        <f aca="false">ROUNDDOWN(IF(IF((C29+C33+C37+C41)&lt;C3,C41,C3-(C29+C33+C37))&gt;0,IF((C29+C33+C37+C41)&lt;C3,C41,C3-(C29+C33+C37)),0),0)</f>
        <v>0</v>
      </c>
      <c r="E41" s="106" t="n">
        <f aca="false">C38*D41</f>
        <v>0</v>
      </c>
      <c r="F41" s="88"/>
      <c r="G41" s="107"/>
      <c r="H41" s="92"/>
    </row>
    <row r="42" customFormat="false" ht="12.8" hidden="false" customHeight="false" outlineLevel="0" collapsed="false">
      <c r="A42" s="109"/>
      <c r="B42" s="110"/>
      <c r="C42" s="111"/>
      <c r="D42" s="110"/>
      <c r="E42" s="110"/>
      <c r="F42" s="110"/>
      <c r="G42" s="110"/>
      <c r="H42" s="112"/>
    </row>
  </sheetData>
  <mergeCells count="4">
    <mergeCell ref="D1:H1"/>
    <mergeCell ref="A2:A22"/>
    <mergeCell ref="E2:H22"/>
    <mergeCell ref="A23:A41"/>
  </mergeCells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42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46" width="14.45"/>
    <col collapsed="false" customWidth="true" hidden="false" outlineLevel="0" max="2" min="2" style="46" width="50.51"/>
    <col collapsed="false" customWidth="true" hidden="false" outlineLevel="0" max="3" min="3" style="46" width="23.28"/>
    <col collapsed="false" customWidth="true" hidden="false" outlineLevel="0" max="4" min="4" style="46" width="13.33"/>
    <col collapsed="false" customWidth="true" hidden="false" outlineLevel="0" max="5" min="5" style="46" width="13.7"/>
    <col collapsed="false" customWidth="true" hidden="false" outlineLevel="0" max="10" min="6" style="46" width="14.45"/>
    <col collapsed="false" customWidth="true" hidden="false" outlineLevel="0" max="11" min="11" style="46" width="22.27"/>
    <col collapsed="false" customWidth="true" hidden="false" outlineLevel="0" max="64" min="12" style="46" width="14.45"/>
  </cols>
  <sheetData>
    <row r="1" customFormat="false" ht="12.8" hidden="false" customHeight="false" outlineLevel="0" collapsed="false">
      <c r="A1" s="47"/>
      <c r="B1" s="48" t="s">
        <v>110</v>
      </c>
      <c r="C1" s="48" t="s">
        <v>3</v>
      </c>
      <c r="D1" s="49" t="s">
        <v>4</v>
      </c>
      <c r="E1" s="49"/>
      <c r="F1" s="49"/>
      <c r="G1" s="49"/>
      <c r="H1" s="49"/>
    </row>
    <row r="2" customFormat="false" ht="16" hidden="false" customHeight="true" outlineLevel="0" collapsed="false">
      <c r="A2" s="50" t="s">
        <v>111</v>
      </c>
      <c r="B2" s="51" t="s">
        <v>112</v>
      </c>
      <c r="C2" s="113" t="n">
        <v>26</v>
      </c>
      <c r="D2" s="53"/>
      <c r="E2" s="54" t="s">
        <v>155</v>
      </c>
      <c r="F2" s="54"/>
      <c r="G2" s="54"/>
      <c r="H2" s="54"/>
    </row>
    <row r="3" customFormat="false" ht="12.8" hidden="false" customHeight="false" outlineLevel="0" collapsed="false">
      <c r="A3" s="50"/>
      <c r="B3" s="55" t="s">
        <v>114</v>
      </c>
      <c r="C3" s="114" t="n">
        <v>23</v>
      </c>
      <c r="D3" s="57"/>
      <c r="E3" s="54"/>
      <c r="F3" s="54"/>
      <c r="G3" s="54"/>
      <c r="H3" s="54"/>
      <c r="L3" s="58"/>
    </row>
    <row r="4" customFormat="false" ht="12.8" hidden="false" customHeight="false" outlineLevel="0" collapsed="false">
      <c r="A4" s="50"/>
      <c r="B4" s="55" t="s">
        <v>115</v>
      </c>
      <c r="C4" s="114" t="n">
        <v>1</v>
      </c>
      <c r="D4" s="57"/>
      <c r="E4" s="54"/>
      <c r="F4" s="54"/>
      <c r="G4" s="54"/>
      <c r="H4" s="54"/>
      <c r="L4" s="58"/>
    </row>
    <row r="5" customFormat="false" ht="12.8" hidden="false" customHeight="false" outlineLevel="0" collapsed="false">
      <c r="A5" s="50"/>
      <c r="B5" s="55" t="s">
        <v>116</v>
      </c>
      <c r="C5" s="115" t="n">
        <f aca="false">(ind_l1_s!C8/10)</f>
        <v>0.0373</v>
      </c>
      <c r="D5" s="57"/>
      <c r="E5" s="54"/>
      <c r="F5" s="54"/>
      <c r="G5" s="54"/>
      <c r="H5" s="54"/>
      <c r="L5" s="58"/>
    </row>
    <row r="6" customFormat="false" ht="12.8" hidden="false" customHeight="false" outlineLevel="0" collapsed="false">
      <c r="A6" s="50"/>
      <c r="B6" s="55" t="s">
        <v>117</v>
      </c>
      <c r="C6" s="60" t="n">
        <f aca="false">VLOOKUP(C2,wireawg!$A$5:$L$44,8,0)</f>
        <v>0.00129</v>
      </c>
      <c r="D6" s="61"/>
      <c r="E6" s="54"/>
      <c r="F6" s="54"/>
      <c r="G6" s="54"/>
      <c r="H6" s="54"/>
    </row>
    <row r="7" customFormat="false" ht="12.8" hidden="false" customHeight="false" outlineLevel="0" collapsed="false">
      <c r="A7" s="50"/>
      <c r="B7" s="55" t="s">
        <v>118</v>
      </c>
      <c r="C7" s="62" t="n">
        <f aca="false">VLOOKUP(C2,wireawg!$A$5:$L$44,11,0)</f>
        <v>1339</v>
      </c>
      <c r="D7" s="61"/>
      <c r="E7" s="54"/>
      <c r="F7" s="54"/>
      <c r="G7" s="54"/>
      <c r="H7" s="54"/>
    </row>
    <row r="8" customFormat="false" ht="12.8" hidden="false" customHeight="false" outlineLevel="0" collapsed="false">
      <c r="A8" s="50"/>
      <c r="B8" s="63" t="s">
        <v>119</v>
      </c>
      <c r="C8" s="64" t="n">
        <f aca="false">VLOOKUP(C2,wireawg!$A$5:$L$44,4,0)</f>
        <v>0.462</v>
      </c>
      <c r="D8" s="65"/>
      <c r="E8" s="54"/>
      <c r="F8" s="54"/>
      <c r="G8" s="54"/>
      <c r="H8" s="54"/>
    </row>
    <row r="9" customFormat="false" ht="12.8" hidden="false" customHeight="false" outlineLevel="0" collapsed="false">
      <c r="A9" s="50"/>
      <c r="B9" s="66" t="s">
        <v>120</v>
      </c>
      <c r="C9" s="116" t="str">
        <f aca="false">ind_l1_s!C9</f>
        <v>Magnetics</v>
      </c>
      <c r="D9" s="68"/>
      <c r="E9" s="54"/>
      <c r="F9" s="54"/>
      <c r="G9" s="54"/>
      <c r="H9" s="54"/>
    </row>
    <row r="10" customFormat="false" ht="12.8" hidden="false" customHeight="false" outlineLevel="0" collapsed="false">
      <c r="A10" s="50"/>
      <c r="B10" s="55" t="s">
        <v>122</v>
      </c>
      <c r="C10" s="116" t="str">
        <f aca="false">ind_l1_s!C10</f>
        <v>C055048A2</v>
      </c>
      <c r="D10" s="61"/>
      <c r="E10" s="54"/>
      <c r="F10" s="54"/>
      <c r="G10" s="54"/>
      <c r="H10" s="54"/>
    </row>
    <row r="11" customFormat="false" ht="12.8" hidden="false" customHeight="false" outlineLevel="0" collapsed="false">
      <c r="A11" s="50"/>
      <c r="B11" s="55" t="s">
        <v>124</v>
      </c>
      <c r="C11" s="116" t="n">
        <f aca="false">ind_l1_s!C11</f>
        <v>1.35</v>
      </c>
      <c r="D11" s="71" t="n">
        <f aca="false">C11+(C5*2)</f>
        <v>1.4246</v>
      </c>
      <c r="E11" s="54"/>
      <c r="F11" s="54"/>
      <c r="G11" s="54"/>
      <c r="H11" s="54"/>
    </row>
    <row r="12" customFormat="false" ht="12.8" hidden="false" customHeight="false" outlineLevel="0" collapsed="false">
      <c r="A12" s="50"/>
      <c r="B12" s="55" t="s">
        <v>125</v>
      </c>
      <c r="C12" s="116" t="n">
        <f aca="false">ind_l1_s!C12</f>
        <v>0.698</v>
      </c>
      <c r="D12" s="72" t="n">
        <f aca="false">C12-(C5*2)</f>
        <v>0.6234</v>
      </c>
      <c r="E12" s="54"/>
      <c r="F12" s="54"/>
      <c r="G12" s="54"/>
      <c r="H12" s="54"/>
    </row>
    <row r="13" customFormat="false" ht="12.8" hidden="false" customHeight="false" outlineLevel="0" collapsed="false">
      <c r="A13" s="50"/>
      <c r="B13" s="55" t="s">
        <v>126</v>
      </c>
      <c r="C13" s="116" t="n">
        <f aca="false">ind_l1_s!C13</f>
        <v>0.552</v>
      </c>
      <c r="D13" s="72" t="n">
        <f aca="false">C13+(C5*2)</f>
        <v>0.6266</v>
      </c>
      <c r="E13" s="54"/>
      <c r="F13" s="54"/>
      <c r="G13" s="54"/>
      <c r="H13" s="54"/>
    </row>
    <row r="14" customFormat="false" ht="14.9" hidden="false" customHeight="false" outlineLevel="0" collapsed="false">
      <c r="A14" s="50"/>
      <c r="B14" s="55" t="s">
        <v>127</v>
      </c>
      <c r="C14" s="116" t="n">
        <f aca="false">ind_l1_s!C14</f>
        <v>72</v>
      </c>
      <c r="D14" s="72"/>
      <c r="E14" s="54"/>
      <c r="F14" s="54"/>
      <c r="G14" s="54"/>
      <c r="H14" s="54"/>
    </row>
    <row r="15" customFormat="false" ht="12.8" hidden="false" customHeight="false" outlineLevel="0" collapsed="false">
      <c r="A15" s="50"/>
      <c r="B15" s="63" t="s">
        <v>128</v>
      </c>
      <c r="C15" s="116" t="n">
        <f aca="false">ind_l1_s!C15</f>
        <v>0.08</v>
      </c>
      <c r="D15" s="75"/>
      <c r="E15" s="54"/>
      <c r="F15" s="54"/>
      <c r="G15" s="54"/>
      <c r="H15" s="54"/>
    </row>
    <row r="16" customFormat="false" ht="12.8" hidden="false" customHeight="false" outlineLevel="0" collapsed="false">
      <c r="A16" s="50"/>
      <c r="B16" s="76" t="str">
        <f aca="false">"Design inductance, -"&amp;TEXT(C15,"#%")&amp;", H ="</f>
        <v>Design inductance, -8%, H =</v>
      </c>
      <c r="C16" s="77" t="n">
        <f aca="false">((C14*(1-C15))*POWER(10,-9))*POWER(C3,2)</f>
        <v>3.504096E-005</v>
      </c>
      <c r="D16" s="78"/>
      <c r="E16" s="54"/>
      <c r="F16" s="54"/>
      <c r="G16" s="54"/>
      <c r="H16" s="54"/>
    </row>
    <row r="17" customFormat="false" ht="12.8" hidden="false" customHeight="false" outlineLevel="0" collapsed="false">
      <c r="A17" s="50"/>
      <c r="B17" s="55" t="s">
        <v>129</v>
      </c>
      <c r="C17" s="79" t="n">
        <f aca="false">PI()*D12</f>
        <v>1.95846886024788</v>
      </c>
      <c r="D17" s="61"/>
      <c r="E17" s="54"/>
      <c r="F17" s="54"/>
      <c r="G17" s="54"/>
      <c r="H17" s="54"/>
    </row>
    <row r="18" customFormat="false" ht="12.8" hidden="false" customHeight="false" outlineLevel="0" collapsed="false">
      <c r="A18" s="50"/>
      <c r="B18" s="80" t="str">
        <f aca="false">"Turns possible with "&amp;TEXT(C4,"#")&amp;" strands of "&amp;TEXT(C2,"#")&amp;" AWG ="</f>
        <v>Turns possible with 1 strands of 26 AWG =</v>
      </c>
      <c r="C18" s="79" t="n">
        <f aca="false">C17/((C8*C4)/10)</f>
        <v>42.3911008711662</v>
      </c>
      <c r="D18" s="61"/>
      <c r="E18" s="54"/>
      <c r="F18" s="54"/>
      <c r="G18" s="54"/>
      <c r="H18" s="54"/>
    </row>
    <row r="19" customFormat="false" ht="12.8" hidden="false" customHeight="false" outlineLevel="0" collapsed="false">
      <c r="A19" s="50"/>
      <c r="B19" s="55" t="s">
        <v>130</v>
      </c>
      <c r="C19" s="81" t="n">
        <f aca="false">(D11-D12)+2*D13</f>
        <v>2.0544</v>
      </c>
      <c r="D19" s="61"/>
      <c r="E19" s="54"/>
      <c r="F19" s="54"/>
      <c r="G19" s="54"/>
      <c r="H19" s="54"/>
    </row>
    <row r="20" customFormat="false" ht="12.8" hidden="false" customHeight="false" outlineLevel="0" collapsed="false">
      <c r="A20" s="50"/>
      <c r="B20" s="55" t="s">
        <v>131</v>
      </c>
      <c r="C20" s="82" t="n">
        <f aca="false">(C4*C8)/10</f>
        <v>0.0462</v>
      </c>
      <c r="D20" s="57"/>
      <c r="E20" s="54"/>
      <c r="F20" s="54"/>
      <c r="G20" s="54"/>
      <c r="H20" s="54"/>
    </row>
    <row r="21" customFormat="false" ht="12.8" hidden="false" customHeight="false" outlineLevel="0" collapsed="false">
      <c r="A21" s="50"/>
      <c r="B21" s="80" t="str">
        <f aca="false">"Estimated wire len per strand using "&amp;TEXT(C2,"#")&amp;" AWG, cm ="</f>
        <v>Estimated wire len per strand using 26 AWG, cm =</v>
      </c>
      <c r="C21" s="81" t="n">
        <f aca="false">C19*C3</f>
        <v>47.2512</v>
      </c>
      <c r="D21" s="61"/>
      <c r="E21" s="54"/>
      <c r="F21" s="54"/>
      <c r="G21" s="54"/>
      <c r="H21" s="54"/>
    </row>
    <row r="22" customFormat="false" ht="12.8" hidden="false" customHeight="false" outlineLevel="0" collapsed="false">
      <c r="A22" s="50"/>
      <c r="B22" s="83" t="s">
        <v>132</v>
      </c>
      <c r="C22" s="84" t="n">
        <f aca="false">(E24*C7*POWER(10,-6))/C4</f>
        <v>0.0632693568</v>
      </c>
      <c r="D22" s="85"/>
      <c r="E22" s="54"/>
      <c r="F22" s="54"/>
      <c r="G22" s="54"/>
      <c r="H22" s="54"/>
    </row>
    <row r="23" customFormat="false" ht="16" hidden="false" customHeight="true" outlineLevel="0" collapsed="false">
      <c r="A23" s="86" t="s">
        <v>133</v>
      </c>
      <c r="B23" s="87"/>
      <c r="C23" s="88"/>
      <c r="D23" s="89" t="s">
        <v>134</v>
      </c>
      <c r="E23" s="90" t="s">
        <v>135</v>
      </c>
      <c r="F23" s="91" t="s">
        <v>136</v>
      </c>
      <c r="G23" s="91" t="s">
        <v>137</v>
      </c>
      <c r="H23" s="92"/>
    </row>
    <row r="24" customFormat="false" ht="12.8" hidden="false" customHeight="false" outlineLevel="0" collapsed="false">
      <c r="A24" s="86"/>
      <c r="B24" s="93"/>
      <c r="C24" s="94"/>
      <c r="D24" s="95" t="n">
        <f aca="false">SUM(D25:D41)</f>
        <v>23</v>
      </c>
      <c r="E24" s="95" t="n">
        <f aca="false">SUM(E25:E41)</f>
        <v>47.2512</v>
      </c>
      <c r="F24" s="96" t="n">
        <f aca="false">(VLOOKUP(C2,wireawg!$A$5:$L$44,11,0)*POWER(10,-6))*E24</f>
        <v>0.0632693568</v>
      </c>
      <c r="G24" s="97" t="n">
        <f aca="false">POWER(design!C27,2)*F24</f>
        <v>0.0846527650498586</v>
      </c>
      <c r="H24" s="92"/>
    </row>
    <row r="25" customFormat="false" ht="12.8" hidden="false" customHeight="false" outlineLevel="0" collapsed="false">
      <c r="A25" s="86"/>
      <c r="B25" s="98" t="s">
        <v>138</v>
      </c>
      <c r="C25" s="99" t="n">
        <f aca="false">C19</f>
        <v>2.0544</v>
      </c>
      <c r="D25" s="95"/>
      <c r="E25" s="100"/>
      <c r="F25" s="88"/>
      <c r="G25" s="88"/>
      <c r="H25" s="92"/>
    </row>
    <row r="26" customFormat="false" ht="12.8" hidden="false" customHeight="false" outlineLevel="0" collapsed="false">
      <c r="A26" s="86"/>
      <c r="B26" s="101" t="s">
        <v>139</v>
      </c>
      <c r="C26" s="99" t="n">
        <f aca="false">D12</f>
        <v>0.6234</v>
      </c>
      <c r="D26" s="95"/>
      <c r="E26" s="100"/>
      <c r="F26" s="88"/>
      <c r="G26" s="88"/>
      <c r="H26" s="92"/>
    </row>
    <row r="27" customFormat="false" ht="12.8" hidden="false" customHeight="false" outlineLevel="0" collapsed="false">
      <c r="A27" s="86"/>
      <c r="B27" s="98" t="s">
        <v>140</v>
      </c>
      <c r="C27" s="99" t="n">
        <f aca="false">C26/2</f>
        <v>0.3117</v>
      </c>
      <c r="D27" s="95"/>
      <c r="E27" s="100"/>
      <c r="F27" s="88"/>
      <c r="G27" s="88"/>
      <c r="H27" s="92"/>
    </row>
    <row r="28" customFormat="false" ht="12.8" hidden="false" customHeight="false" outlineLevel="0" collapsed="false">
      <c r="A28" s="86"/>
      <c r="B28" s="102" t="s">
        <v>141</v>
      </c>
      <c r="C28" s="99" t="n">
        <f aca="false">PI()*2*C27</f>
        <v>1.95846886024788</v>
      </c>
      <c r="D28" s="95"/>
      <c r="E28" s="100"/>
      <c r="F28" s="88"/>
      <c r="G28" s="88"/>
      <c r="H28" s="92"/>
    </row>
    <row r="29" customFormat="false" ht="12.8" hidden="false" customHeight="false" outlineLevel="0" collapsed="false">
      <c r="A29" s="86"/>
      <c r="B29" s="103" t="s">
        <v>142</v>
      </c>
      <c r="C29" s="104" t="n">
        <f aca="false">ROUNDDOWN(C28/C20,0)</f>
        <v>42</v>
      </c>
      <c r="D29" s="105" t="n">
        <f aca="false">ROUNDDOWN(IF(C29&lt;C3,C29,C3),0)</f>
        <v>23</v>
      </c>
      <c r="E29" s="106" t="n">
        <f aca="false">C25*D29</f>
        <v>47.2512</v>
      </c>
      <c r="F29" s="88"/>
      <c r="G29" s="107"/>
      <c r="H29" s="92"/>
    </row>
    <row r="30" customFormat="false" ht="12.8" hidden="false" customHeight="false" outlineLevel="0" collapsed="false">
      <c r="A30" s="86"/>
      <c r="B30" s="101" t="s">
        <v>143</v>
      </c>
      <c r="C30" s="94" t="n">
        <f aca="false">C25+((C8/10)*4)</f>
        <v>2.2392</v>
      </c>
      <c r="D30" s="95"/>
      <c r="E30" s="100"/>
      <c r="F30" s="88"/>
      <c r="G30" s="88"/>
      <c r="H30" s="92"/>
    </row>
    <row r="31" customFormat="false" ht="12.8" hidden="false" customHeight="false" outlineLevel="0" collapsed="false">
      <c r="A31" s="86"/>
      <c r="B31" s="101" t="s">
        <v>144</v>
      </c>
      <c r="C31" s="94" t="n">
        <f aca="false">C27-(C8/10)</f>
        <v>0.2655</v>
      </c>
      <c r="D31" s="95"/>
      <c r="E31" s="100"/>
      <c r="F31" s="88"/>
      <c r="G31" s="88"/>
      <c r="H31" s="92"/>
    </row>
    <row r="32" customFormat="false" ht="12.8" hidden="false" customHeight="false" outlineLevel="0" collapsed="false">
      <c r="A32" s="86"/>
      <c r="B32" s="102" t="s">
        <v>145</v>
      </c>
      <c r="C32" s="94" t="n">
        <f aca="false">2*PI()*C31</f>
        <v>1.66818569905618</v>
      </c>
      <c r="D32" s="95"/>
      <c r="E32" s="100"/>
      <c r="F32" s="88"/>
      <c r="G32" s="88"/>
      <c r="H32" s="92"/>
    </row>
    <row r="33" customFormat="false" ht="12.8" hidden="false" customHeight="false" outlineLevel="0" collapsed="false">
      <c r="A33" s="86"/>
      <c r="B33" s="103" t="s">
        <v>146</v>
      </c>
      <c r="C33" s="104" t="n">
        <f aca="false">ROUNDDOWN(C32/C20,0)</f>
        <v>36</v>
      </c>
      <c r="D33" s="105" t="n">
        <f aca="false">ROUNDDOWN(IF(IF((C29+C33)&lt;C3,C33,C3-C29)&gt;0,IF((C29+C33)&lt;C3,C33,C3-C29),0),0)</f>
        <v>0</v>
      </c>
      <c r="E33" s="106" t="n">
        <f aca="false">C30*D33</f>
        <v>0</v>
      </c>
      <c r="F33" s="88"/>
      <c r="G33" s="107"/>
      <c r="H33" s="92"/>
    </row>
    <row r="34" customFormat="false" ht="12.8" hidden="false" customHeight="false" outlineLevel="0" collapsed="false">
      <c r="A34" s="86"/>
      <c r="B34" s="101" t="s">
        <v>147</v>
      </c>
      <c r="C34" s="94" t="n">
        <f aca="false">C30+((C8/10)*4)</f>
        <v>2.424</v>
      </c>
      <c r="D34" s="95"/>
      <c r="E34" s="100"/>
      <c r="F34" s="88"/>
      <c r="G34" s="88"/>
      <c r="H34" s="92"/>
    </row>
    <row r="35" customFormat="false" ht="12.8" hidden="false" customHeight="false" outlineLevel="0" collapsed="false">
      <c r="A35" s="86"/>
      <c r="B35" s="101" t="s">
        <v>148</v>
      </c>
      <c r="C35" s="99" t="n">
        <f aca="false">C31-(C8/10)</f>
        <v>0.2193</v>
      </c>
      <c r="D35" s="95"/>
      <c r="E35" s="100"/>
      <c r="F35" s="88"/>
      <c r="G35" s="88"/>
      <c r="H35" s="92"/>
    </row>
    <row r="36" customFormat="false" ht="12.8" hidden="false" customHeight="false" outlineLevel="0" collapsed="false">
      <c r="A36" s="86"/>
      <c r="B36" s="102" t="s">
        <v>149</v>
      </c>
      <c r="C36" s="99" t="n">
        <f aca="false">2*PI()*C35</f>
        <v>1.37790253786448</v>
      </c>
      <c r="D36" s="95"/>
      <c r="E36" s="100"/>
      <c r="F36" s="88"/>
      <c r="G36" s="88"/>
      <c r="H36" s="92"/>
    </row>
    <row r="37" customFormat="false" ht="12.8" hidden="false" customHeight="false" outlineLevel="0" collapsed="false">
      <c r="A37" s="86"/>
      <c r="B37" s="103" t="s">
        <v>150</v>
      </c>
      <c r="C37" s="108" t="n">
        <f aca="false">ROUNDDOWN(C36/C20,0)</f>
        <v>29</v>
      </c>
      <c r="D37" s="105" t="n">
        <f aca="false">ROUNDDOWN(IF(IF((C29+C33+C37)&lt;C3,C37,C3-(C29+C33))&gt;0,IF((C29+C33+C37)&lt;C3,C37,C3-(C29+C33)),0),0)</f>
        <v>0</v>
      </c>
      <c r="E37" s="106" t="n">
        <f aca="false">C34*D37</f>
        <v>0</v>
      </c>
      <c r="F37" s="88"/>
      <c r="G37" s="107"/>
      <c r="H37" s="92"/>
    </row>
    <row r="38" customFormat="false" ht="12.8" hidden="false" customHeight="false" outlineLevel="0" collapsed="false">
      <c r="A38" s="86"/>
      <c r="B38" s="101" t="s">
        <v>151</v>
      </c>
      <c r="C38" s="94" t="n">
        <f aca="false">C34+((C8/10)*4)</f>
        <v>2.6088</v>
      </c>
      <c r="D38" s="95"/>
      <c r="E38" s="100"/>
      <c r="F38" s="88"/>
      <c r="G38" s="88"/>
      <c r="H38" s="92"/>
    </row>
    <row r="39" customFormat="false" ht="12.8" hidden="false" customHeight="false" outlineLevel="0" collapsed="false">
      <c r="A39" s="86"/>
      <c r="B39" s="101" t="s">
        <v>152</v>
      </c>
      <c r="C39" s="99" t="n">
        <f aca="false">C35-(C8/10)</f>
        <v>0.1731</v>
      </c>
      <c r="D39" s="95"/>
      <c r="E39" s="100"/>
      <c r="F39" s="88"/>
      <c r="G39" s="88"/>
      <c r="H39" s="92"/>
    </row>
    <row r="40" customFormat="false" ht="12.8" hidden="false" customHeight="false" outlineLevel="0" collapsed="false">
      <c r="A40" s="86"/>
      <c r="B40" s="102" t="s">
        <v>153</v>
      </c>
      <c r="C40" s="99" t="n">
        <f aca="false">2*PI()*C39</f>
        <v>1.08761937667279</v>
      </c>
      <c r="D40" s="95"/>
      <c r="E40" s="100"/>
      <c r="F40" s="88"/>
      <c r="G40" s="88"/>
      <c r="H40" s="92"/>
    </row>
    <row r="41" customFormat="false" ht="12.8" hidden="false" customHeight="false" outlineLevel="0" collapsed="false">
      <c r="A41" s="86"/>
      <c r="B41" s="103" t="s">
        <v>154</v>
      </c>
      <c r="C41" s="108" t="n">
        <f aca="false">ROUNDDOWN(C40/C20,0)</f>
        <v>23</v>
      </c>
      <c r="D41" s="105" t="n">
        <f aca="false">ROUNDDOWN(IF(IF((C29+C33+C37+C41)&lt;C3,C41,C3-(C29+C33+C37))&gt;0,IF((C29+C33+C37+C41)&lt;C3,C41,C3-(C29+C33+C37)),0),0)</f>
        <v>0</v>
      </c>
      <c r="E41" s="106" t="n">
        <f aca="false">C38*D41</f>
        <v>0</v>
      </c>
      <c r="F41" s="88"/>
      <c r="G41" s="107"/>
      <c r="H41" s="92"/>
    </row>
    <row r="42" customFormat="false" ht="12.8" hidden="false" customHeight="false" outlineLevel="0" collapsed="false">
      <c r="A42" s="109"/>
      <c r="B42" s="110"/>
      <c r="C42" s="111"/>
      <c r="D42" s="110"/>
      <c r="E42" s="110"/>
      <c r="F42" s="110"/>
      <c r="G42" s="110"/>
      <c r="H42" s="112"/>
    </row>
  </sheetData>
  <mergeCells count="4">
    <mergeCell ref="D1:H1"/>
    <mergeCell ref="A2:A22"/>
    <mergeCell ref="E2:H22"/>
    <mergeCell ref="A23:A41"/>
  </mergeCells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42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46" width="14.45"/>
    <col collapsed="false" customWidth="true" hidden="false" outlineLevel="0" max="2" min="2" style="46" width="50.51"/>
    <col collapsed="false" customWidth="true" hidden="false" outlineLevel="0" max="3" min="3" style="46" width="23.28"/>
    <col collapsed="false" customWidth="true" hidden="false" outlineLevel="0" max="4" min="4" style="46" width="13.33"/>
    <col collapsed="false" customWidth="true" hidden="false" outlineLevel="0" max="5" min="5" style="46" width="13.7"/>
    <col collapsed="false" customWidth="true" hidden="false" outlineLevel="0" max="10" min="6" style="46" width="14.45"/>
    <col collapsed="false" customWidth="true" hidden="false" outlineLevel="0" max="11" min="11" style="46" width="22.27"/>
    <col collapsed="false" customWidth="true" hidden="false" outlineLevel="0" max="64" min="12" style="46" width="14.45"/>
  </cols>
  <sheetData>
    <row r="1" customFormat="false" ht="12.8" hidden="false" customHeight="false" outlineLevel="0" collapsed="false">
      <c r="A1" s="47"/>
      <c r="B1" s="48" t="s">
        <v>110</v>
      </c>
      <c r="C1" s="48" t="s">
        <v>3</v>
      </c>
      <c r="D1" s="49" t="s">
        <v>4</v>
      </c>
      <c r="E1" s="49"/>
      <c r="F1" s="49"/>
      <c r="G1" s="49"/>
      <c r="H1" s="49"/>
    </row>
    <row r="2" customFormat="false" ht="16" hidden="false" customHeight="true" outlineLevel="0" collapsed="false">
      <c r="A2" s="50" t="s">
        <v>111</v>
      </c>
      <c r="B2" s="51" t="s">
        <v>112</v>
      </c>
      <c r="C2" s="117" t="n">
        <f aca="false">ind_l1_s!C2</f>
        <v>28</v>
      </c>
      <c r="D2" s="53"/>
      <c r="E2" s="54" t="s">
        <v>156</v>
      </c>
      <c r="F2" s="54"/>
      <c r="G2" s="54"/>
      <c r="H2" s="54"/>
    </row>
    <row r="3" customFormat="false" ht="12.8" hidden="false" customHeight="false" outlineLevel="0" collapsed="false">
      <c r="A3" s="50"/>
      <c r="B3" s="55" t="s">
        <v>114</v>
      </c>
      <c r="C3" s="118" t="n">
        <f aca="false">ind_l1_s!C3</f>
        <v>23</v>
      </c>
      <c r="D3" s="57"/>
      <c r="E3" s="54"/>
      <c r="F3" s="54"/>
      <c r="G3" s="54"/>
      <c r="H3" s="54"/>
      <c r="L3" s="58"/>
    </row>
    <row r="4" customFormat="false" ht="12.8" hidden="false" customHeight="false" outlineLevel="0" collapsed="false">
      <c r="A4" s="50"/>
      <c r="B4" s="55" t="s">
        <v>115</v>
      </c>
      <c r="C4" s="118" t="n">
        <f aca="false">ind_l1_s!C4</f>
        <v>1</v>
      </c>
      <c r="D4" s="57"/>
      <c r="E4" s="54"/>
      <c r="F4" s="54"/>
      <c r="G4" s="54"/>
      <c r="H4" s="54"/>
      <c r="L4" s="58"/>
    </row>
    <row r="5" customFormat="false" ht="12.8" hidden="false" customHeight="false" outlineLevel="0" collapsed="false">
      <c r="A5" s="50"/>
      <c r="B5" s="55" t="s">
        <v>116</v>
      </c>
      <c r="C5" s="115" t="n">
        <f aca="false">ind_l2_p!C5+(ind_l2_p!C8/10)</f>
        <v>0.0835</v>
      </c>
      <c r="D5" s="57"/>
      <c r="E5" s="54"/>
      <c r="F5" s="54"/>
      <c r="G5" s="54"/>
      <c r="H5" s="54"/>
      <c r="L5" s="58"/>
    </row>
    <row r="6" customFormat="false" ht="12.8" hidden="false" customHeight="false" outlineLevel="0" collapsed="false">
      <c r="A6" s="50"/>
      <c r="B6" s="55" t="s">
        <v>117</v>
      </c>
      <c r="C6" s="60" t="n">
        <f aca="false">VLOOKUP(C2,wireawg!$A$5:$L$44,8,0)</f>
        <v>0.00081</v>
      </c>
      <c r="D6" s="61"/>
      <c r="E6" s="54"/>
      <c r="F6" s="54"/>
      <c r="G6" s="54"/>
      <c r="H6" s="54"/>
    </row>
    <row r="7" customFormat="false" ht="12.8" hidden="false" customHeight="false" outlineLevel="0" collapsed="false">
      <c r="A7" s="50"/>
      <c r="B7" s="55" t="s">
        <v>118</v>
      </c>
      <c r="C7" s="62" t="n">
        <f aca="false">VLOOKUP(C2,wireawg!$A$5:$L$44,11,0)</f>
        <v>2129</v>
      </c>
      <c r="D7" s="61"/>
      <c r="E7" s="54"/>
      <c r="F7" s="54"/>
      <c r="G7" s="54"/>
      <c r="H7" s="54"/>
    </row>
    <row r="8" customFormat="false" ht="12.8" hidden="false" customHeight="false" outlineLevel="0" collapsed="false">
      <c r="A8" s="50"/>
      <c r="B8" s="63" t="s">
        <v>119</v>
      </c>
      <c r="C8" s="64" t="n">
        <f aca="false">VLOOKUP(C2,wireawg!$A$5:$L$44,4,0)</f>
        <v>0.373</v>
      </c>
      <c r="D8" s="65"/>
      <c r="E8" s="54"/>
      <c r="F8" s="54"/>
      <c r="G8" s="54"/>
      <c r="H8" s="54"/>
    </row>
    <row r="9" customFormat="false" ht="12.8" hidden="false" customHeight="false" outlineLevel="0" collapsed="false">
      <c r="A9" s="50"/>
      <c r="B9" s="66" t="s">
        <v>120</v>
      </c>
      <c r="C9" s="116" t="str">
        <f aca="false">ind_l1_s!C9</f>
        <v>Magnetics</v>
      </c>
      <c r="D9" s="68"/>
      <c r="E9" s="54"/>
      <c r="F9" s="54"/>
      <c r="G9" s="54"/>
      <c r="H9" s="54"/>
    </row>
    <row r="10" customFormat="false" ht="12.8" hidden="false" customHeight="false" outlineLevel="0" collapsed="false">
      <c r="A10" s="50"/>
      <c r="B10" s="55" t="s">
        <v>122</v>
      </c>
      <c r="C10" s="116" t="str">
        <f aca="false">ind_l1_s!C10</f>
        <v>C055048A2</v>
      </c>
      <c r="D10" s="61"/>
      <c r="E10" s="54"/>
      <c r="F10" s="54"/>
      <c r="G10" s="54"/>
      <c r="H10" s="54"/>
    </row>
    <row r="11" customFormat="false" ht="12.8" hidden="false" customHeight="false" outlineLevel="0" collapsed="false">
      <c r="A11" s="50"/>
      <c r="B11" s="55" t="s">
        <v>124</v>
      </c>
      <c r="C11" s="116" t="n">
        <f aca="false">ind_l1_s!C11</f>
        <v>1.35</v>
      </c>
      <c r="D11" s="71" t="n">
        <f aca="false">C11+(C5*2)</f>
        <v>1.517</v>
      </c>
      <c r="E11" s="54"/>
      <c r="F11" s="54"/>
      <c r="G11" s="54"/>
      <c r="H11" s="54"/>
    </row>
    <row r="12" customFormat="false" ht="12.8" hidden="false" customHeight="false" outlineLevel="0" collapsed="false">
      <c r="A12" s="50"/>
      <c r="B12" s="55" t="s">
        <v>125</v>
      </c>
      <c r="C12" s="116" t="n">
        <f aca="false">ind_l1_s!C12</f>
        <v>0.698</v>
      </c>
      <c r="D12" s="72" t="n">
        <f aca="false">C12-(C5*2)</f>
        <v>0.531</v>
      </c>
      <c r="E12" s="54"/>
      <c r="F12" s="54"/>
      <c r="G12" s="54"/>
      <c r="H12" s="54"/>
    </row>
    <row r="13" customFormat="false" ht="12.8" hidden="false" customHeight="false" outlineLevel="0" collapsed="false">
      <c r="A13" s="50"/>
      <c r="B13" s="55" t="s">
        <v>126</v>
      </c>
      <c r="C13" s="116" t="n">
        <f aca="false">ind_l1_s!C13</f>
        <v>0.552</v>
      </c>
      <c r="D13" s="72" t="n">
        <f aca="false">C13+(C5*2)</f>
        <v>0.719</v>
      </c>
      <c r="E13" s="54"/>
      <c r="F13" s="54"/>
      <c r="G13" s="54"/>
      <c r="H13" s="54"/>
    </row>
    <row r="14" customFormat="false" ht="14.9" hidden="false" customHeight="false" outlineLevel="0" collapsed="false">
      <c r="A14" s="50"/>
      <c r="B14" s="55" t="s">
        <v>127</v>
      </c>
      <c r="C14" s="116" t="n">
        <f aca="false">ind_l1_s!C14</f>
        <v>72</v>
      </c>
      <c r="D14" s="72"/>
      <c r="E14" s="54"/>
      <c r="F14" s="54"/>
      <c r="G14" s="54"/>
      <c r="H14" s="54"/>
    </row>
    <row r="15" customFormat="false" ht="12.8" hidden="false" customHeight="false" outlineLevel="0" collapsed="false">
      <c r="A15" s="50"/>
      <c r="B15" s="63" t="s">
        <v>128</v>
      </c>
      <c r="C15" s="116" t="n">
        <f aca="false">ind_l1_s!C15</f>
        <v>0.08</v>
      </c>
      <c r="D15" s="75"/>
      <c r="E15" s="54"/>
      <c r="F15" s="54"/>
      <c r="G15" s="54"/>
      <c r="H15" s="54"/>
    </row>
    <row r="16" customFormat="false" ht="12.8" hidden="false" customHeight="false" outlineLevel="0" collapsed="false">
      <c r="A16" s="50"/>
      <c r="B16" s="76" t="str">
        <f aca="false">"Design inductance, -"&amp;TEXT(C15,"#%")&amp;", H ="</f>
        <v>Design inductance, -8%, H =</v>
      </c>
      <c r="C16" s="77" t="n">
        <f aca="false">((C14*(1-C15))*POWER(10,-9))*POWER(C3,2)</f>
        <v>3.504096E-005</v>
      </c>
      <c r="D16" s="78"/>
      <c r="E16" s="54"/>
      <c r="F16" s="54"/>
      <c r="G16" s="54"/>
      <c r="H16" s="54"/>
    </row>
    <row r="17" customFormat="false" ht="12.8" hidden="false" customHeight="false" outlineLevel="0" collapsed="false">
      <c r="A17" s="50"/>
      <c r="B17" s="55" t="s">
        <v>129</v>
      </c>
      <c r="C17" s="79" t="n">
        <f aca="false">PI()*D12</f>
        <v>1.66818569905618</v>
      </c>
      <c r="D17" s="61"/>
      <c r="E17" s="54"/>
      <c r="F17" s="54"/>
      <c r="G17" s="54"/>
      <c r="H17" s="54"/>
    </row>
    <row r="18" customFormat="false" ht="12.8" hidden="false" customHeight="false" outlineLevel="0" collapsed="false">
      <c r="A18" s="50"/>
      <c r="B18" s="80" t="str">
        <f aca="false">"Turns possible with "&amp;TEXT(C4,"#")&amp;" strands of "&amp;TEXT(C2,"#")&amp;" AWG ="</f>
        <v>Turns possible with 1 strands of 28 AWG =</v>
      </c>
      <c r="C18" s="79" t="n">
        <f aca="false">C17/((C8*C4)/10)</f>
        <v>44.7234771864928</v>
      </c>
      <c r="D18" s="61"/>
      <c r="E18" s="54"/>
      <c r="F18" s="54"/>
      <c r="G18" s="54"/>
      <c r="H18" s="54"/>
    </row>
    <row r="19" customFormat="false" ht="12.8" hidden="false" customHeight="false" outlineLevel="0" collapsed="false">
      <c r="A19" s="50"/>
      <c r="B19" s="55" t="s">
        <v>130</v>
      </c>
      <c r="C19" s="81" t="n">
        <f aca="false">(D11-D12)+2*D13</f>
        <v>2.424</v>
      </c>
      <c r="D19" s="61"/>
      <c r="E19" s="54"/>
      <c r="F19" s="54"/>
      <c r="G19" s="54"/>
      <c r="H19" s="54"/>
    </row>
    <row r="20" customFormat="false" ht="12.8" hidden="false" customHeight="false" outlineLevel="0" collapsed="false">
      <c r="A20" s="50"/>
      <c r="B20" s="55" t="s">
        <v>131</v>
      </c>
      <c r="C20" s="82" t="n">
        <f aca="false">(C4*C8)/10</f>
        <v>0.0373</v>
      </c>
      <c r="D20" s="57"/>
      <c r="E20" s="54"/>
      <c r="F20" s="54"/>
      <c r="G20" s="54"/>
      <c r="H20" s="54"/>
    </row>
    <row r="21" customFormat="false" ht="12.8" hidden="false" customHeight="false" outlineLevel="0" collapsed="false">
      <c r="A21" s="50"/>
      <c r="B21" s="80" t="str">
        <f aca="false">"Estimated wire len per strand using "&amp;TEXT(C2,"#")&amp;" AWG, cm ="</f>
        <v>Estimated wire len per strand using 28 AWG, cm =</v>
      </c>
      <c r="C21" s="81" t="n">
        <f aca="false">C19*C3</f>
        <v>55.752</v>
      </c>
      <c r="D21" s="61"/>
      <c r="E21" s="54"/>
      <c r="F21" s="54"/>
      <c r="G21" s="54"/>
      <c r="H21" s="54"/>
    </row>
    <row r="22" customFormat="false" ht="12.8" hidden="false" customHeight="false" outlineLevel="0" collapsed="false">
      <c r="A22" s="50"/>
      <c r="B22" s="83" t="s">
        <v>132</v>
      </c>
      <c r="C22" s="84" t="n">
        <f aca="false">(E24*C7*POWER(10,-6))/C4</f>
        <v>0.118696008</v>
      </c>
      <c r="D22" s="85"/>
      <c r="E22" s="54"/>
      <c r="F22" s="54"/>
      <c r="G22" s="54"/>
      <c r="H22" s="54"/>
    </row>
    <row r="23" customFormat="false" ht="16" hidden="false" customHeight="true" outlineLevel="0" collapsed="false">
      <c r="A23" s="86" t="s">
        <v>133</v>
      </c>
      <c r="B23" s="87"/>
      <c r="C23" s="88"/>
      <c r="D23" s="89" t="s">
        <v>134</v>
      </c>
      <c r="E23" s="90" t="s">
        <v>135</v>
      </c>
      <c r="F23" s="91" t="s">
        <v>136</v>
      </c>
      <c r="G23" s="91" t="s">
        <v>137</v>
      </c>
      <c r="H23" s="92"/>
    </row>
    <row r="24" customFormat="false" ht="12.8" hidden="false" customHeight="false" outlineLevel="0" collapsed="false">
      <c r="A24" s="86"/>
      <c r="B24" s="93"/>
      <c r="C24" s="94"/>
      <c r="D24" s="95" t="n">
        <f aca="false">SUM(D25:D41)</f>
        <v>23</v>
      </c>
      <c r="E24" s="95" t="n">
        <f aca="false">SUM(E25:E41)</f>
        <v>55.752</v>
      </c>
      <c r="F24" s="96" t="n">
        <f aca="false">(VLOOKUP(C2,wireawg!$A$5:$L$44,11,0)*POWER(10,-6))*E24</f>
        <v>0.118696008</v>
      </c>
      <c r="G24" s="97" t="n">
        <f aca="false">POWER(design!C11,2)*F24</f>
        <v>0.00118696008</v>
      </c>
      <c r="H24" s="92"/>
    </row>
    <row r="25" customFormat="false" ht="12.8" hidden="false" customHeight="false" outlineLevel="0" collapsed="false">
      <c r="A25" s="86"/>
      <c r="B25" s="98" t="s">
        <v>138</v>
      </c>
      <c r="C25" s="99" t="n">
        <f aca="false">C19</f>
        <v>2.424</v>
      </c>
      <c r="D25" s="95"/>
      <c r="E25" s="100"/>
      <c r="F25" s="88"/>
      <c r="G25" s="88"/>
      <c r="H25" s="92"/>
    </row>
    <row r="26" customFormat="false" ht="12.8" hidden="false" customHeight="false" outlineLevel="0" collapsed="false">
      <c r="A26" s="86"/>
      <c r="B26" s="101" t="s">
        <v>139</v>
      </c>
      <c r="C26" s="99" t="n">
        <f aca="false">D12</f>
        <v>0.531</v>
      </c>
      <c r="D26" s="95"/>
      <c r="E26" s="100"/>
      <c r="F26" s="88"/>
      <c r="G26" s="88"/>
      <c r="H26" s="92"/>
    </row>
    <row r="27" customFormat="false" ht="12.8" hidden="false" customHeight="false" outlineLevel="0" collapsed="false">
      <c r="A27" s="86"/>
      <c r="B27" s="98" t="s">
        <v>140</v>
      </c>
      <c r="C27" s="99" t="n">
        <f aca="false">C26/2</f>
        <v>0.2655</v>
      </c>
      <c r="D27" s="95"/>
      <c r="E27" s="100"/>
      <c r="F27" s="88"/>
      <c r="G27" s="88"/>
      <c r="H27" s="92"/>
    </row>
    <row r="28" customFormat="false" ht="12.8" hidden="false" customHeight="false" outlineLevel="0" collapsed="false">
      <c r="A28" s="86"/>
      <c r="B28" s="102" t="s">
        <v>141</v>
      </c>
      <c r="C28" s="99" t="n">
        <f aca="false">PI()*2*C27</f>
        <v>1.66818569905618</v>
      </c>
      <c r="D28" s="95"/>
      <c r="E28" s="100"/>
      <c r="F28" s="88"/>
      <c r="G28" s="88"/>
      <c r="H28" s="92"/>
    </row>
    <row r="29" customFormat="false" ht="12.8" hidden="false" customHeight="false" outlineLevel="0" collapsed="false">
      <c r="A29" s="86"/>
      <c r="B29" s="103" t="s">
        <v>142</v>
      </c>
      <c r="C29" s="104" t="n">
        <f aca="false">ROUNDDOWN(C28/C20,0)</f>
        <v>44</v>
      </c>
      <c r="D29" s="105" t="n">
        <f aca="false">ROUNDDOWN(IF(C29&lt;C3,C29,C3),0)</f>
        <v>23</v>
      </c>
      <c r="E29" s="106" t="n">
        <f aca="false">C25*D29</f>
        <v>55.752</v>
      </c>
      <c r="F29" s="88"/>
      <c r="G29" s="107"/>
      <c r="H29" s="92"/>
    </row>
    <row r="30" customFormat="false" ht="12.8" hidden="false" customHeight="false" outlineLevel="0" collapsed="false">
      <c r="A30" s="86"/>
      <c r="B30" s="101" t="s">
        <v>143</v>
      </c>
      <c r="C30" s="94" t="n">
        <f aca="false">C25+((C8/10)*4)</f>
        <v>2.5732</v>
      </c>
      <c r="D30" s="95"/>
      <c r="E30" s="100"/>
      <c r="F30" s="88"/>
      <c r="G30" s="88"/>
      <c r="H30" s="92"/>
    </row>
    <row r="31" customFormat="false" ht="12.8" hidden="false" customHeight="false" outlineLevel="0" collapsed="false">
      <c r="A31" s="86"/>
      <c r="B31" s="101" t="s">
        <v>144</v>
      </c>
      <c r="C31" s="94" t="n">
        <f aca="false">C27-(C8/10)</f>
        <v>0.2282</v>
      </c>
      <c r="D31" s="95"/>
      <c r="E31" s="100"/>
      <c r="F31" s="88"/>
      <c r="G31" s="88"/>
      <c r="H31" s="92"/>
    </row>
    <row r="32" customFormat="false" ht="12.8" hidden="false" customHeight="false" outlineLevel="0" collapsed="false">
      <c r="A32" s="86"/>
      <c r="B32" s="102" t="s">
        <v>145</v>
      </c>
      <c r="C32" s="94" t="n">
        <f aca="false">2*PI()*C31</f>
        <v>1.43382288709838</v>
      </c>
      <c r="D32" s="95"/>
      <c r="E32" s="100"/>
      <c r="F32" s="88"/>
      <c r="G32" s="88"/>
      <c r="H32" s="92"/>
    </row>
    <row r="33" customFormat="false" ht="12.8" hidden="false" customHeight="false" outlineLevel="0" collapsed="false">
      <c r="A33" s="86"/>
      <c r="B33" s="103" t="s">
        <v>146</v>
      </c>
      <c r="C33" s="104" t="n">
        <f aca="false">ROUNDDOWN(C32/C20,0)</f>
        <v>38</v>
      </c>
      <c r="D33" s="105" t="n">
        <f aca="false">ROUNDDOWN(IF(IF((C29+C33)&lt;C3,C33,C3-C29)&gt;0,IF((C29+C33)&lt;C3,C33,C3-C29),0),0)</f>
        <v>0</v>
      </c>
      <c r="E33" s="106" t="n">
        <f aca="false">C30*D33</f>
        <v>0</v>
      </c>
      <c r="F33" s="88"/>
      <c r="G33" s="107"/>
      <c r="H33" s="92"/>
    </row>
    <row r="34" customFormat="false" ht="12.8" hidden="false" customHeight="false" outlineLevel="0" collapsed="false">
      <c r="A34" s="86"/>
      <c r="B34" s="101" t="s">
        <v>147</v>
      </c>
      <c r="C34" s="94" t="n">
        <f aca="false">C30+((C8/10)*4)</f>
        <v>2.7224</v>
      </c>
      <c r="D34" s="95"/>
      <c r="E34" s="100"/>
      <c r="F34" s="88"/>
      <c r="G34" s="88"/>
      <c r="H34" s="92"/>
    </row>
    <row r="35" customFormat="false" ht="12.8" hidden="false" customHeight="false" outlineLevel="0" collapsed="false">
      <c r="A35" s="86"/>
      <c r="B35" s="101" t="s">
        <v>148</v>
      </c>
      <c r="C35" s="99" t="n">
        <f aca="false">C31-(C8/10)</f>
        <v>0.1909</v>
      </c>
      <c r="D35" s="95"/>
      <c r="E35" s="100"/>
      <c r="F35" s="88"/>
      <c r="G35" s="88"/>
      <c r="H35" s="92"/>
    </row>
    <row r="36" customFormat="false" ht="12.8" hidden="false" customHeight="false" outlineLevel="0" collapsed="false">
      <c r="A36" s="86"/>
      <c r="B36" s="102" t="s">
        <v>149</v>
      </c>
      <c r="C36" s="99" t="n">
        <f aca="false">2*PI()*C35</f>
        <v>1.19946007514058</v>
      </c>
      <c r="D36" s="95"/>
      <c r="E36" s="100"/>
      <c r="F36" s="88"/>
      <c r="G36" s="88"/>
      <c r="H36" s="92"/>
    </row>
    <row r="37" customFormat="false" ht="12.8" hidden="false" customHeight="false" outlineLevel="0" collapsed="false">
      <c r="A37" s="86"/>
      <c r="B37" s="103" t="s">
        <v>150</v>
      </c>
      <c r="C37" s="108" t="n">
        <f aca="false">ROUNDDOWN(C36/C20,0)</f>
        <v>32</v>
      </c>
      <c r="D37" s="105" t="n">
        <f aca="false">ROUNDDOWN(IF(IF((C29+C33+C37)&lt;C3,C37,C3-(C29+C33))&gt;0,IF((C29+C33+C37)&lt;C3,C37,C3-(C29+C33)),0),0)</f>
        <v>0</v>
      </c>
      <c r="E37" s="106" t="n">
        <f aca="false">C34*D37</f>
        <v>0</v>
      </c>
      <c r="F37" s="88"/>
      <c r="G37" s="107"/>
      <c r="H37" s="92"/>
    </row>
    <row r="38" customFormat="false" ht="12.8" hidden="false" customHeight="false" outlineLevel="0" collapsed="false">
      <c r="A38" s="86"/>
      <c r="B38" s="101" t="s">
        <v>151</v>
      </c>
      <c r="C38" s="94" t="n">
        <f aca="false">C34+((C8/10)*4)</f>
        <v>2.8716</v>
      </c>
      <c r="D38" s="95"/>
      <c r="E38" s="100"/>
      <c r="F38" s="88"/>
      <c r="G38" s="88"/>
      <c r="H38" s="92"/>
    </row>
    <row r="39" customFormat="false" ht="12.8" hidden="false" customHeight="false" outlineLevel="0" collapsed="false">
      <c r="A39" s="86"/>
      <c r="B39" s="101" t="s">
        <v>152</v>
      </c>
      <c r="C39" s="99" t="n">
        <f aca="false">C35-(C8/10)</f>
        <v>0.1536</v>
      </c>
      <c r="D39" s="95"/>
      <c r="E39" s="100"/>
      <c r="F39" s="88"/>
      <c r="G39" s="88"/>
      <c r="H39" s="92"/>
    </row>
    <row r="40" customFormat="false" ht="12.8" hidden="false" customHeight="false" outlineLevel="0" collapsed="false">
      <c r="A40" s="86"/>
      <c r="B40" s="102" t="s">
        <v>153</v>
      </c>
      <c r="C40" s="99" t="n">
        <f aca="false">2*PI()*C39</f>
        <v>0.965097263182784</v>
      </c>
      <c r="D40" s="95"/>
      <c r="E40" s="100"/>
      <c r="F40" s="88"/>
      <c r="G40" s="88"/>
      <c r="H40" s="92"/>
    </row>
    <row r="41" customFormat="false" ht="12.8" hidden="false" customHeight="false" outlineLevel="0" collapsed="false">
      <c r="A41" s="86"/>
      <c r="B41" s="103" t="s">
        <v>154</v>
      </c>
      <c r="C41" s="108" t="n">
        <f aca="false">ROUNDDOWN(C40/C20,0)</f>
        <v>25</v>
      </c>
      <c r="D41" s="105" t="n">
        <f aca="false">ROUNDDOWN(IF(IF((C29+C33+C37+C41)&lt;C3,C41,C3-(C29+C33+C37))&gt;0,IF((C29+C33+C37+C41)&lt;C3,C41,C3-(C29+C33+C37)),0),0)</f>
        <v>0</v>
      </c>
      <c r="E41" s="106" t="n">
        <f aca="false">C38*D41</f>
        <v>0</v>
      </c>
      <c r="F41" s="88"/>
      <c r="G41" s="107"/>
      <c r="H41" s="92"/>
    </row>
    <row r="42" customFormat="false" ht="12.8" hidden="false" customHeight="false" outlineLevel="0" collapsed="false">
      <c r="A42" s="109"/>
      <c r="B42" s="110"/>
      <c r="C42" s="111"/>
      <c r="D42" s="110"/>
      <c r="E42" s="110"/>
      <c r="F42" s="110"/>
      <c r="G42" s="110"/>
      <c r="H42" s="112"/>
    </row>
  </sheetData>
  <mergeCells count="4">
    <mergeCell ref="D1:H1"/>
    <mergeCell ref="A2:A22"/>
    <mergeCell ref="E2:H22"/>
    <mergeCell ref="A23:A41"/>
  </mergeCells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42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46" width="14.45"/>
    <col collapsed="false" customWidth="true" hidden="false" outlineLevel="0" max="2" min="2" style="46" width="50.51"/>
    <col collapsed="false" customWidth="true" hidden="false" outlineLevel="0" max="3" min="3" style="46" width="23.28"/>
    <col collapsed="false" customWidth="true" hidden="false" outlineLevel="0" max="4" min="4" style="46" width="13.33"/>
    <col collapsed="false" customWidth="true" hidden="false" outlineLevel="0" max="5" min="5" style="46" width="13.7"/>
    <col collapsed="false" customWidth="true" hidden="false" outlineLevel="0" max="10" min="6" style="46" width="14.45"/>
    <col collapsed="false" customWidth="true" hidden="false" outlineLevel="0" max="11" min="11" style="46" width="22.27"/>
    <col collapsed="false" customWidth="true" hidden="false" outlineLevel="0" max="64" min="12" style="46" width="14.45"/>
  </cols>
  <sheetData>
    <row r="1" customFormat="false" ht="12.8" hidden="false" customHeight="false" outlineLevel="0" collapsed="false">
      <c r="A1" s="47"/>
      <c r="B1" s="48" t="s">
        <v>110</v>
      </c>
      <c r="C1" s="48" t="s">
        <v>3</v>
      </c>
      <c r="D1" s="49" t="s">
        <v>4</v>
      </c>
      <c r="E1" s="49"/>
      <c r="F1" s="49"/>
      <c r="G1" s="49"/>
      <c r="H1" s="49"/>
    </row>
    <row r="2" customFormat="false" ht="16" hidden="false" customHeight="true" outlineLevel="0" collapsed="false">
      <c r="A2" s="50" t="s">
        <v>111</v>
      </c>
      <c r="B2" s="51" t="s">
        <v>112</v>
      </c>
      <c r="C2" s="117" t="n">
        <f aca="false">ind_l2_p!C2</f>
        <v>26</v>
      </c>
      <c r="D2" s="53"/>
      <c r="E2" s="54" t="s">
        <v>157</v>
      </c>
      <c r="F2" s="54"/>
      <c r="G2" s="54"/>
      <c r="H2" s="54"/>
    </row>
    <row r="3" customFormat="false" ht="12.8" hidden="false" customHeight="false" outlineLevel="0" collapsed="false">
      <c r="A3" s="50"/>
      <c r="B3" s="55" t="s">
        <v>114</v>
      </c>
      <c r="C3" s="118" t="n">
        <f aca="false">ind_l2_p!C3</f>
        <v>23</v>
      </c>
      <c r="D3" s="57"/>
      <c r="E3" s="54"/>
      <c r="F3" s="54"/>
      <c r="G3" s="54"/>
      <c r="H3" s="54"/>
      <c r="L3" s="58"/>
    </row>
    <row r="4" customFormat="false" ht="12.8" hidden="false" customHeight="false" outlineLevel="0" collapsed="false">
      <c r="A4" s="50"/>
      <c r="B4" s="55" t="s">
        <v>115</v>
      </c>
      <c r="C4" s="118" t="n">
        <f aca="false">ind_l2_p!C4</f>
        <v>1</v>
      </c>
      <c r="D4" s="57"/>
      <c r="E4" s="54"/>
      <c r="F4" s="54"/>
      <c r="G4" s="54"/>
      <c r="H4" s="54"/>
      <c r="L4" s="58"/>
    </row>
    <row r="5" customFormat="false" ht="12.8" hidden="false" customHeight="false" outlineLevel="0" collapsed="false">
      <c r="A5" s="50"/>
      <c r="B5" s="55" t="s">
        <v>116</v>
      </c>
      <c r="C5" s="115" t="n">
        <f aca="false">ind_l3_s!C5+(ind_l3_s!C8/10)</f>
        <v>0.1208</v>
      </c>
      <c r="D5" s="57"/>
      <c r="E5" s="54"/>
      <c r="F5" s="54"/>
      <c r="G5" s="54"/>
      <c r="H5" s="54"/>
      <c r="L5" s="58"/>
    </row>
    <row r="6" customFormat="false" ht="12.8" hidden="false" customHeight="false" outlineLevel="0" collapsed="false">
      <c r="A6" s="50"/>
      <c r="B6" s="55" t="s">
        <v>117</v>
      </c>
      <c r="C6" s="60" t="n">
        <f aca="false">VLOOKUP(C2,wireawg!$A$5:$L$44,8,0)</f>
        <v>0.00129</v>
      </c>
      <c r="D6" s="61"/>
      <c r="E6" s="54"/>
      <c r="F6" s="54"/>
      <c r="G6" s="54"/>
      <c r="H6" s="54"/>
    </row>
    <row r="7" customFormat="false" ht="12.8" hidden="false" customHeight="false" outlineLevel="0" collapsed="false">
      <c r="A7" s="50"/>
      <c r="B7" s="55" t="s">
        <v>118</v>
      </c>
      <c r="C7" s="62" t="n">
        <f aca="false">VLOOKUP(C2,wireawg!$A$5:$L$44,11,0)</f>
        <v>1339</v>
      </c>
      <c r="D7" s="61"/>
      <c r="E7" s="54"/>
      <c r="F7" s="54"/>
      <c r="G7" s="54"/>
      <c r="H7" s="54"/>
    </row>
    <row r="8" customFormat="false" ht="12.8" hidden="false" customHeight="false" outlineLevel="0" collapsed="false">
      <c r="A8" s="50"/>
      <c r="B8" s="63" t="s">
        <v>119</v>
      </c>
      <c r="C8" s="64" t="n">
        <f aca="false">VLOOKUP(C2,wireawg!$A$5:$L$44,4,0)</f>
        <v>0.462</v>
      </c>
      <c r="D8" s="65"/>
      <c r="E8" s="54"/>
      <c r="F8" s="54"/>
      <c r="G8" s="54"/>
      <c r="H8" s="54"/>
    </row>
    <row r="9" customFormat="false" ht="12.8" hidden="false" customHeight="false" outlineLevel="0" collapsed="false">
      <c r="A9" s="50"/>
      <c r="B9" s="66" t="s">
        <v>120</v>
      </c>
      <c r="C9" s="116" t="str">
        <f aca="false">ind_l1_s!C9</f>
        <v>Magnetics</v>
      </c>
      <c r="D9" s="68"/>
      <c r="E9" s="54"/>
      <c r="F9" s="54"/>
      <c r="G9" s="54"/>
      <c r="H9" s="54"/>
    </row>
    <row r="10" customFormat="false" ht="12.8" hidden="false" customHeight="false" outlineLevel="0" collapsed="false">
      <c r="A10" s="50"/>
      <c r="B10" s="55" t="s">
        <v>122</v>
      </c>
      <c r="C10" s="116" t="str">
        <f aca="false">ind_l1_s!C10</f>
        <v>C055048A2</v>
      </c>
      <c r="D10" s="61"/>
      <c r="E10" s="54"/>
      <c r="F10" s="54"/>
      <c r="G10" s="54"/>
      <c r="H10" s="54"/>
    </row>
    <row r="11" customFormat="false" ht="12.8" hidden="false" customHeight="false" outlineLevel="0" collapsed="false">
      <c r="A11" s="50"/>
      <c r="B11" s="55" t="s">
        <v>124</v>
      </c>
      <c r="C11" s="116" t="n">
        <f aca="false">ind_l1_s!C11</f>
        <v>1.35</v>
      </c>
      <c r="D11" s="71" t="n">
        <f aca="false">C11+(C5*2)</f>
        <v>1.5916</v>
      </c>
      <c r="E11" s="54"/>
      <c r="F11" s="54"/>
      <c r="G11" s="54"/>
      <c r="H11" s="54"/>
    </row>
    <row r="12" customFormat="false" ht="12.8" hidden="false" customHeight="false" outlineLevel="0" collapsed="false">
      <c r="A12" s="50"/>
      <c r="B12" s="55" t="s">
        <v>125</v>
      </c>
      <c r="C12" s="116" t="n">
        <f aca="false">ind_l1_s!C12</f>
        <v>0.698</v>
      </c>
      <c r="D12" s="72" t="n">
        <f aca="false">C12-(C5*2)</f>
        <v>0.4564</v>
      </c>
      <c r="E12" s="54"/>
      <c r="F12" s="54"/>
      <c r="G12" s="54"/>
      <c r="H12" s="54"/>
    </row>
    <row r="13" customFormat="false" ht="12.8" hidden="false" customHeight="false" outlineLevel="0" collapsed="false">
      <c r="A13" s="50"/>
      <c r="B13" s="55" t="s">
        <v>126</v>
      </c>
      <c r="C13" s="116" t="n">
        <f aca="false">ind_l1_s!C13</f>
        <v>0.552</v>
      </c>
      <c r="D13" s="72" t="n">
        <f aca="false">C13+(C5*2)</f>
        <v>0.7936</v>
      </c>
      <c r="E13" s="54"/>
      <c r="F13" s="54"/>
      <c r="G13" s="54"/>
      <c r="H13" s="54"/>
    </row>
    <row r="14" customFormat="false" ht="14.9" hidden="false" customHeight="false" outlineLevel="0" collapsed="false">
      <c r="A14" s="50"/>
      <c r="B14" s="55" t="s">
        <v>127</v>
      </c>
      <c r="C14" s="116" t="n">
        <f aca="false">ind_l1_s!C14</f>
        <v>72</v>
      </c>
      <c r="D14" s="72"/>
      <c r="E14" s="54"/>
      <c r="F14" s="54"/>
      <c r="G14" s="54"/>
      <c r="H14" s="54"/>
    </row>
    <row r="15" customFormat="false" ht="12.8" hidden="false" customHeight="false" outlineLevel="0" collapsed="false">
      <c r="A15" s="50"/>
      <c r="B15" s="63" t="s">
        <v>128</v>
      </c>
      <c r="C15" s="116" t="n">
        <f aca="false">ind_l1_s!C15</f>
        <v>0.08</v>
      </c>
      <c r="D15" s="75"/>
      <c r="E15" s="54"/>
      <c r="F15" s="54"/>
      <c r="G15" s="54"/>
      <c r="H15" s="54"/>
    </row>
    <row r="16" customFormat="false" ht="12.8" hidden="false" customHeight="false" outlineLevel="0" collapsed="false">
      <c r="A16" s="50"/>
      <c r="B16" s="76" t="str">
        <f aca="false">"Design inductance, -"&amp;TEXT(C15,"#%")&amp;", H ="</f>
        <v>Design inductance, -8%, H =</v>
      </c>
      <c r="C16" s="77" t="n">
        <f aca="false">((C14*(1-C15))*POWER(10,-9))*POWER(C3,2)</f>
        <v>3.504096E-005</v>
      </c>
      <c r="D16" s="78"/>
      <c r="E16" s="54"/>
      <c r="F16" s="54"/>
      <c r="G16" s="54"/>
      <c r="H16" s="54"/>
    </row>
    <row r="17" customFormat="false" ht="12.8" hidden="false" customHeight="false" outlineLevel="0" collapsed="false">
      <c r="A17" s="50"/>
      <c r="B17" s="55" t="s">
        <v>129</v>
      </c>
      <c r="C17" s="79" t="n">
        <f aca="false">PI()*D12</f>
        <v>1.43382288709838</v>
      </c>
      <c r="D17" s="61"/>
      <c r="E17" s="54"/>
      <c r="F17" s="54"/>
      <c r="G17" s="54"/>
      <c r="H17" s="54"/>
    </row>
    <row r="18" customFormat="false" ht="12.8" hidden="false" customHeight="false" outlineLevel="0" collapsed="false">
      <c r="A18" s="50"/>
      <c r="B18" s="80" t="str">
        <f aca="false">"Turns possible with "&amp;TEXT(C4,"#")&amp;" strands of "&amp;TEXT(C2,"#")&amp;" AWG ="</f>
        <v>Turns possible with 1 strands of 26 AWG =</v>
      </c>
      <c r="C18" s="79" t="n">
        <f aca="false">C17/((C8*C4)/10)</f>
        <v>31.0351274263719</v>
      </c>
      <c r="D18" s="61"/>
      <c r="E18" s="54"/>
      <c r="F18" s="54"/>
      <c r="G18" s="54"/>
      <c r="H18" s="54"/>
    </row>
    <row r="19" customFormat="false" ht="12.8" hidden="false" customHeight="false" outlineLevel="0" collapsed="false">
      <c r="A19" s="50"/>
      <c r="B19" s="55" t="s">
        <v>130</v>
      </c>
      <c r="C19" s="81" t="n">
        <f aca="false">(D11-D12)+2*D13</f>
        <v>2.7224</v>
      </c>
      <c r="D19" s="61"/>
      <c r="E19" s="54"/>
      <c r="F19" s="54"/>
      <c r="G19" s="54"/>
      <c r="H19" s="54"/>
    </row>
    <row r="20" customFormat="false" ht="12.8" hidden="false" customHeight="false" outlineLevel="0" collapsed="false">
      <c r="A20" s="50"/>
      <c r="B20" s="55" t="s">
        <v>131</v>
      </c>
      <c r="C20" s="82" t="n">
        <f aca="false">(C4*C8)/10</f>
        <v>0.0462</v>
      </c>
      <c r="D20" s="57"/>
      <c r="E20" s="54"/>
      <c r="F20" s="54"/>
      <c r="G20" s="54"/>
      <c r="H20" s="54"/>
    </row>
    <row r="21" customFormat="false" ht="12.8" hidden="false" customHeight="false" outlineLevel="0" collapsed="false">
      <c r="A21" s="50"/>
      <c r="B21" s="80" t="str">
        <f aca="false">"Estimated wire len per strand using "&amp;TEXT(C2,"#")&amp;" AWG, cm ="</f>
        <v>Estimated wire len per strand using 26 AWG, cm =</v>
      </c>
      <c r="C21" s="81" t="n">
        <f aca="false">C19*C3</f>
        <v>62.6152</v>
      </c>
      <c r="D21" s="61"/>
      <c r="E21" s="54"/>
      <c r="F21" s="54"/>
      <c r="G21" s="54"/>
      <c r="H21" s="54"/>
    </row>
    <row r="22" customFormat="false" ht="12.8" hidden="false" customHeight="false" outlineLevel="0" collapsed="false">
      <c r="A22" s="50"/>
      <c r="B22" s="83" t="s">
        <v>132</v>
      </c>
      <c r="C22" s="84" t="n">
        <f aca="false">(E24*C7*POWER(10,-6))/C4</f>
        <v>0.0838417528</v>
      </c>
      <c r="D22" s="85"/>
      <c r="E22" s="54"/>
      <c r="F22" s="54"/>
      <c r="G22" s="54"/>
      <c r="H22" s="54"/>
    </row>
    <row r="23" customFormat="false" ht="16" hidden="false" customHeight="true" outlineLevel="0" collapsed="false">
      <c r="A23" s="86" t="s">
        <v>133</v>
      </c>
      <c r="B23" s="87"/>
      <c r="C23" s="88"/>
      <c r="D23" s="89" t="s">
        <v>134</v>
      </c>
      <c r="E23" s="90" t="s">
        <v>135</v>
      </c>
      <c r="F23" s="91" t="s">
        <v>136</v>
      </c>
      <c r="G23" s="91" t="s">
        <v>137</v>
      </c>
      <c r="H23" s="92"/>
    </row>
    <row r="24" customFormat="false" ht="12.8" hidden="false" customHeight="false" outlineLevel="0" collapsed="false">
      <c r="A24" s="86"/>
      <c r="B24" s="93"/>
      <c r="C24" s="94"/>
      <c r="D24" s="95" t="n">
        <f aca="false">SUM(D25:D41)</f>
        <v>23</v>
      </c>
      <c r="E24" s="95" t="n">
        <f aca="false">SUM(E25:E41)</f>
        <v>62.6152</v>
      </c>
      <c r="F24" s="96" t="n">
        <f aca="false">(VLOOKUP(C2,wireawg!$A$5:$L$44,11,0)*POWER(10,-6))*E24</f>
        <v>0.0838417528</v>
      </c>
      <c r="G24" s="97" t="n">
        <f aca="false">POWER(design!C27,2)*F24</f>
        <v>0.112178099480011</v>
      </c>
      <c r="H24" s="92"/>
    </row>
    <row r="25" customFormat="false" ht="12.8" hidden="false" customHeight="false" outlineLevel="0" collapsed="false">
      <c r="A25" s="86"/>
      <c r="B25" s="98" t="s">
        <v>138</v>
      </c>
      <c r="C25" s="99" t="n">
        <f aca="false">C19</f>
        <v>2.7224</v>
      </c>
      <c r="D25" s="95"/>
      <c r="E25" s="100"/>
      <c r="F25" s="88"/>
      <c r="G25" s="88"/>
      <c r="H25" s="92"/>
    </row>
    <row r="26" customFormat="false" ht="12.8" hidden="false" customHeight="false" outlineLevel="0" collapsed="false">
      <c r="A26" s="86"/>
      <c r="B26" s="101" t="s">
        <v>139</v>
      </c>
      <c r="C26" s="99" t="n">
        <f aca="false">D12</f>
        <v>0.4564</v>
      </c>
      <c r="D26" s="95"/>
      <c r="E26" s="100"/>
      <c r="F26" s="88"/>
      <c r="G26" s="88"/>
      <c r="H26" s="92"/>
    </row>
    <row r="27" customFormat="false" ht="12.8" hidden="false" customHeight="false" outlineLevel="0" collapsed="false">
      <c r="A27" s="86"/>
      <c r="B27" s="98" t="s">
        <v>140</v>
      </c>
      <c r="C27" s="99" t="n">
        <f aca="false">C26/2</f>
        <v>0.2282</v>
      </c>
      <c r="D27" s="95"/>
      <c r="E27" s="100"/>
      <c r="F27" s="88"/>
      <c r="G27" s="88"/>
      <c r="H27" s="92"/>
    </row>
    <row r="28" customFormat="false" ht="12.8" hidden="false" customHeight="false" outlineLevel="0" collapsed="false">
      <c r="A28" s="86"/>
      <c r="B28" s="102" t="s">
        <v>141</v>
      </c>
      <c r="C28" s="99" t="n">
        <f aca="false">PI()*2*C27</f>
        <v>1.43382288709838</v>
      </c>
      <c r="D28" s="95"/>
      <c r="E28" s="100"/>
      <c r="F28" s="88"/>
      <c r="G28" s="88"/>
      <c r="H28" s="92"/>
    </row>
    <row r="29" customFormat="false" ht="12.8" hidden="false" customHeight="false" outlineLevel="0" collapsed="false">
      <c r="A29" s="86"/>
      <c r="B29" s="103" t="s">
        <v>142</v>
      </c>
      <c r="C29" s="104" t="n">
        <f aca="false">ROUNDDOWN(C28/C20,0)</f>
        <v>31</v>
      </c>
      <c r="D29" s="105" t="n">
        <f aca="false">ROUNDDOWN(IF(C29&lt;C3,C29,C3),0)</f>
        <v>23</v>
      </c>
      <c r="E29" s="106" t="n">
        <f aca="false">C25*D29</f>
        <v>62.6152</v>
      </c>
      <c r="F29" s="88"/>
      <c r="G29" s="107"/>
      <c r="H29" s="92"/>
    </row>
    <row r="30" customFormat="false" ht="12.8" hidden="false" customHeight="false" outlineLevel="0" collapsed="false">
      <c r="A30" s="86"/>
      <c r="B30" s="101" t="s">
        <v>143</v>
      </c>
      <c r="C30" s="94" t="n">
        <f aca="false">C25+((C8/10)*4)</f>
        <v>2.9072</v>
      </c>
      <c r="D30" s="95"/>
      <c r="E30" s="100"/>
      <c r="F30" s="88"/>
      <c r="G30" s="88"/>
      <c r="H30" s="92"/>
    </row>
    <row r="31" customFormat="false" ht="12.8" hidden="false" customHeight="false" outlineLevel="0" collapsed="false">
      <c r="A31" s="86"/>
      <c r="B31" s="101" t="s">
        <v>144</v>
      </c>
      <c r="C31" s="94" t="n">
        <f aca="false">C27-(C8/10)</f>
        <v>0.182</v>
      </c>
      <c r="D31" s="95"/>
      <c r="E31" s="100"/>
      <c r="F31" s="88"/>
      <c r="G31" s="88"/>
      <c r="H31" s="92"/>
    </row>
    <row r="32" customFormat="false" ht="12.8" hidden="false" customHeight="false" outlineLevel="0" collapsed="false">
      <c r="A32" s="86"/>
      <c r="B32" s="102" t="s">
        <v>145</v>
      </c>
      <c r="C32" s="94" t="n">
        <f aca="false">2*PI()*C31</f>
        <v>1.14353972590668</v>
      </c>
      <c r="D32" s="95"/>
      <c r="E32" s="100"/>
      <c r="F32" s="88"/>
      <c r="G32" s="88"/>
      <c r="H32" s="92"/>
    </row>
    <row r="33" customFormat="false" ht="12.8" hidden="false" customHeight="false" outlineLevel="0" collapsed="false">
      <c r="A33" s="86"/>
      <c r="B33" s="103" t="s">
        <v>146</v>
      </c>
      <c r="C33" s="104" t="n">
        <f aca="false">ROUNDDOWN(C32/C20,0)</f>
        <v>24</v>
      </c>
      <c r="D33" s="105" t="n">
        <f aca="false">ROUNDDOWN(IF(IF((C29+C33)&lt;C3,C33,C3-C29)&gt;0,IF((C29+C33)&lt;C3,C33,C3-C29),0),0)</f>
        <v>0</v>
      </c>
      <c r="E33" s="106" t="n">
        <f aca="false">C30*D33</f>
        <v>0</v>
      </c>
      <c r="F33" s="88"/>
      <c r="G33" s="107"/>
      <c r="H33" s="92"/>
    </row>
    <row r="34" customFormat="false" ht="12.8" hidden="false" customHeight="false" outlineLevel="0" collapsed="false">
      <c r="A34" s="86"/>
      <c r="B34" s="101" t="s">
        <v>147</v>
      </c>
      <c r="C34" s="94" t="n">
        <f aca="false">C30+((C8/10)*4)</f>
        <v>3.092</v>
      </c>
      <c r="D34" s="95"/>
      <c r="E34" s="100"/>
      <c r="F34" s="88"/>
      <c r="G34" s="88"/>
      <c r="H34" s="92"/>
    </row>
    <row r="35" customFormat="false" ht="12.8" hidden="false" customHeight="false" outlineLevel="0" collapsed="false">
      <c r="A35" s="86"/>
      <c r="B35" s="101" t="s">
        <v>148</v>
      </c>
      <c r="C35" s="99" t="n">
        <f aca="false">C31-(C8/10)</f>
        <v>0.1358</v>
      </c>
      <c r="D35" s="95"/>
      <c r="E35" s="100"/>
      <c r="F35" s="88"/>
      <c r="G35" s="88"/>
      <c r="H35" s="92"/>
    </row>
    <row r="36" customFormat="false" ht="12.8" hidden="false" customHeight="false" outlineLevel="0" collapsed="false">
      <c r="A36" s="86"/>
      <c r="B36" s="102" t="s">
        <v>149</v>
      </c>
      <c r="C36" s="99" t="n">
        <f aca="false">2*PI()*C35</f>
        <v>0.853256564714988</v>
      </c>
      <c r="D36" s="95"/>
      <c r="E36" s="100"/>
      <c r="F36" s="88"/>
      <c r="G36" s="88"/>
      <c r="H36" s="92"/>
    </row>
    <row r="37" customFormat="false" ht="12.8" hidden="false" customHeight="false" outlineLevel="0" collapsed="false">
      <c r="A37" s="86"/>
      <c r="B37" s="103" t="s">
        <v>150</v>
      </c>
      <c r="C37" s="108" t="n">
        <f aca="false">ROUNDDOWN(C36/C20,0)</f>
        <v>18</v>
      </c>
      <c r="D37" s="105" t="n">
        <f aca="false">ROUNDDOWN(IF(IF((C29+C33+C37)&lt;C3,C37,C3-(C29+C33))&gt;0,IF((C29+C33+C37)&lt;C3,C37,C3-(C29+C33)),0),0)</f>
        <v>0</v>
      </c>
      <c r="E37" s="106" t="n">
        <f aca="false">C34*D37</f>
        <v>0</v>
      </c>
      <c r="F37" s="88"/>
      <c r="G37" s="107"/>
      <c r="H37" s="92"/>
    </row>
    <row r="38" customFormat="false" ht="12.8" hidden="false" customHeight="false" outlineLevel="0" collapsed="false">
      <c r="A38" s="86"/>
      <c r="B38" s="101" t="s">
        <v>151</v>
      </c>
      <c r="C38" s="94" t="n">
        <f aca="false">C34+((C8/10)*4)</f>
        <v>3.2768</v>
      </c>
      <c r="D38" s="95"/>
      <c r="E38" s="100"/>
      <c r="F38" s="88"/>
      <c r="G38" s="88"/>
      <c r="H38" s="92"/>
    </row>
    <row r="39" customFormat="false" ht="12.8" hidden="false" customHeight="false" outlineLevel="0" collapsed="false">
      <c r="A39" s="86"/>
      <c r="B39" s="101" t="s">
        <v>152</v>
      </c>
      <c r="C39" s="99" t="n">
        <f aca="false">C35-(C8/10)</f>
        <v>0.0896</v>
      </c>
      <c r="D39" s="95"/>
      <c r="E39" s="100"/>
      <c r="F39" s="88"/>
      <c r="G39" s="88"/>
      <c r="H39" s="92"/>
    </row>
    <row r="40" customFormat="false" ht="12.8" hidden="false" customHeight="false" outlineLevel="0" collapsed="false">
      <c r="A40" s="86"/>
      <c r="B40" s="102" t="s">
        <v>153</v>
      </c>
      <c r="C40" s="99" t="n">
        <f aca="false">2*PI()*C39</f>
        <v>0.562973403523291</v>
      </c>
      <c r="D40" s="95"/>
      <c r="E40" s="100"/>
      <c r="F40" s="88"/>
      <c r="G40" s="88"/>
      <c r="H40" s="92"/>
    </row>
    <row r="41" customFormat="false" ht="12.8" hidden="false" customHeight="false" outlineLevel="0" collapsed="false">
      <c r="A41" s="86"/>
      <c r="B41" s="103" t="s">
        <v>154</v>
      </c>
      <c r="C41" s="108" t="n">
        <f aca="false">ROUNDDOWN(C40/C20,0)</f>
        <v>12</v>
      </c>
      <c r="D41" s="105" t="n">
        <f aca="false">ROUNDDOWN(IF(IF((C29+C33+C37+C41)&lt;C3,C41,C3-(C29+C33+C37))&gt;0,IF((C29+C33+C37+C41)&lt;C3,C41,C3-(C29+C33+C37)),0),0)</f>
        <v>0</v>
      </c>
      <c r="E41" s="106" t="n">
        <f aca="false">C38*D41</f>
        <v>0</v>
      </c>
      <c r="F41" s="88"/>
      <c r="G41" s="107"/>
      <c r="H41" s="92"/>
    </row>
    <row r="42" customFormat="false" ht="12.8" hidden="false" customHeight="false" outlineLevel="0" collapsed="false">
      <c r="A42" s="109"/>
      <c r="B42" s="110"/>
      <c r="C42" s="111"/>
      <c r="D42" s="110"/>
      <c r="E42" s="110"/>
      <c r="F42" s="110"/>
      <c r="G42" s="110"/>
      <c r="H42" s="112"/>
    </row>
  </sheetData>
  <mergeCells count="4">
    <mergeCell ref="D1:H1"/>
    <mergeCell ref="A2:A22"/>
    <mergeCell ref="E2:H22"/>
    <mergeCell ref="A23:A41"/>
  </mergeCells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84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14.94140625" defaultRowHeight="12.8" zeroHeight="false" outlineLevelRow="0" outlineLevelCol="0"/>
  <cols>
    <col collapsed="false" customWidth="true" hidden="false" outlineLevel="0" max="1" min="1" style="119" width="22.27"/>
    <col collapsed="false" customWidth="true" hidden="false" outlineLevel="0" max="2" min="2" style="120" width="13.41"/>
    <col collapsed="false" customWidth="true" hidden="false" outlineLevel="0" max="3" min="3" style="119" width="6.88"/>
    <col collapsed="false" customWidth="true" hidden="false" outlineLevel="0" max="4" min="4" style="121" width="24.8"/>
    <col collapsed="false" customWidth="true" hidden="false" outlineLevel="0" max="5" min="5" style="122" width="16.94"/>
    <col collapsed="false" customWidth="true" hidden="false" outlineLevel="0" max="6" min="6" style="119" width="13.55"/>
    <col collapsed="false" customWidth="true" hidden="false" outlineLevel="0" max="7" min="7" style="123" width="33.97"/>
    <col collapsed="false" customWidth="true" hidden="false" outlineLevel="0" max="8" min="8" style="124" width="53.04"/>
    <col collapsed="false" customWidth="false" hidden="false" outlineLevel="0" max="9" min="9" style="125" width="14.92"/>
    <col collapsed="false" customWidth="false" hidden="false" outlineLevel="0" max="1017" min="10" style="119" width="14.92"/>
    <col collapsed="false" customWidth="true" hidden="false" outlineLevel="0" max="1022" min="1018" style="126" width="11.52"/>
    <col collapsed="false" customWidth="true" hidden="false" outlineLevel="0" max="1024" min="1023" style="0" width="11.52"/>
  </cols>
  <sheetData>
    <row r="1" s="132" customFormat="true" ht="12.8" hidden="false" customHeight="false" outlineLevel="0" collapsed="false">
      <c r="A1" s="127" t="s">
        <v>158</v>
      </c>
      <c r="B1" s="128" t="s">
        <v>159</v>
      </c>
      <c r="C1" s="127" t="s">
        <v>160</v>
      </c>
      <c r="D1" s="127" t="s">
        <v>3</v>
      </c>
      <c r="E1" s="129" t="s">
        <v>161</v>
      </c>
      <c r="F1" s="127" t="s">
        <v>162</v>
      </c>
      <c r="G1" s="129" t="s">
        <v>163</v>
      </c>
      <c r="H1" s="130" t="s">
        <v>164</v>
      </c>
      <c r="I1" s="131"/>
      <c r="AMD1" s="46"/>
      <c r="AME1" s="46"/>
      <c r="AMF1" s="46"/>
      <c r="AMG1" s="46"/>
      <c r="AMH1" s="46"/>
      <c r="AMI1" s="0"/>
      <c r="AMJ1" s="0"/>
    </row>
    <row r="2" customFormat="false" ht="23.85" hidden="false" customHeight="false" outlineLevel="0" collapsed="false">
      <c r="A2" s="119" t="s">
        <v>165</v>
      </c>
      <c r="B2" s="120" t="s">
        <v>166</v>
      </c>
      <c r="C2" s="133" t="n">
        <v>2</v>
      </c>
      <c r="D2" s="134" t="s">
        <v>167</v>
      </c>
      <c r="E2" s="122" t="s">
        <v>168</v>
      </c>
      <c r="F2" s="119" t="s">
        <v>169</v>
      </c>
      <c r="G2" s="135" t="s">
        <v>170</v>
      </c>
      <c r="H2" s="136" t="s">
        <v>171</v>
      </c>
    </row>
    <row r="3" s="133" customFormat="true" ht="23.85" hidden="false" customHeight="false" outlineLevel="0" collapsed="false">
      <c r="A3" s="119" t="s">
        <v>165</v>
      </c>
      <c r="B3" s="120" t="s">
        <v>172</v>
      </c>
      <c r="C3" s="133" t="n">
        <v>3</v>
      </c>
      <c r="D3" s="121" t="s">
        <v>173</v>
      </c>
      <c r="E3" s="122" t="s">
        <v>174</v>
      </c>
      <c r="F3" s="119" t="s">
        <v>175</v>
      </c>
      <c r="G3" s="137" t="s">
        <v>176</v>
      </c>
      <c r="H3" s="137" t="s">
        <v>177</v>
      </c>
      <c r="I3" s="138"/>
      <c r="AMD3" s="126"/>
      <c r="AME3" s="126"/>
      <c r="AMF3" s="126"/>
      <c r="AMG3" s="126"/>
      <c r="AMH3" s="126"/>
      <c r="AMI3" s="0"/>
      <c r="AMJ3" s="0"/>
    </row>
    <row r="4" customFormat="false" ht="35.8" hidden="false" customHeight="false" outlineLevel="0" collapsed="false">
      <c r="A4" s="119" t="s">
        <v>165</v>
      </c>
      <c r="B4" s="139" t="s">
        <v>178</v>
      </c>
      <c r="C4" s="133" t="n">
        <v>1</v>
      </c>
      <c r="D4" s="121" t="s">
        <v>179</v>
      </c>
      <c r="E4" s="122" t="s">
        <v>180</v>
      </c>
      <c r="F4" s="119" t="s">
        <v>175</v>
      </c>
      <c r="G4" s="133" t="s">
        <v>181</v>
      </c>
      <c r="H4" s="139" t="s">
        <v>182</v>
      </c>
    </row>
    <row r="5" customFormat="false" ht="12.9" hidden="false" customHeight="false" outlineLevel="0" collapsed="false">
      <c r="A5" s="119" t="s">
        <v>165</v>
      </c>
      <c r="B5" s="120" t="s">
        <v>183</v>
      </c>
      <c r="C5" s="133" t="n">
        <v>1</v>
      </c>
      <c r="D5" s="134" t="s">
        <v>184</v>
      </c>
      <c r="E5" s="122" t="s">
        <v>185</v>
      </c>
      <c r="F5" s="119" t="s">
        <v>175</v>
      </c>
      <c r="G5" s="135" t="s">
        <v>186</v>
      </c>
      <c r="H5" s="136" t="s">
        <v>187</v>
      </c>
    </row>
    <row r="6" customFormat="false" ht="12.9" hidden="false" customHeight="false" outlineLevel="0" collapsed="false">
      <c r="A6" s="119" t="s">
        <v>165</v>
      </c>
      <c r="B6" s="120" t="s">
        <v>188</v>
      </c>
      <c r="C6" s="133" t="n">
        <v>1</v>
      </c>
      <c r="D6" s="121" t="s">
        <v>189</v>
      </c>
      <c r="E6" s="122" t="s">
        <v>185</v>
      </c>
      <c r="F6" s="119" t="s">
        <v>175</v>
      </c>
      <c r="G6" s="137" t="s">
        <v>190</v>
      </c>
      <c r="H6" s="137" t="s">
        <v>191</v>
      </c>
    </row>
    <row r="7" customFormat="false" ht="12.9" hidden="false" customHeight="false" outlineLevel="0" collapsed="false">
      <c r="A7" s="119" t="s">
        <v>165</v>
      </c>
      <c r="B7" s="120" t="s">
        <v>192</v>
      </c>
      <c r="C7" s="133" t="n">
        <v>1</v>
      </c>
      <c r="D7" s="134" t="s">
        <v>193</v>
      </c>
      <c r="E7" s="122" t="s">
        <v>185</v>
      </c>
      <c r="F7" s="119" t="s">
        <v>175</v>
      </c>
      <c r="G7" s="135" t="s">
        <v>194</v>
      </c>
      <c r="H7" s="136" t="s">
        <v>195</v>
      </c>
    </row>
    <row r="8" customFormat="false" ht="12.9" hidden="false" customHeight="false" outlineLevel="0" collapsed="false">
      <c r="A8" s="119" t="s">
        <v>165</v>
      </c>
      <c r="B8" s="120" t="s">
        <v>196</v>
      </c>
      <c r="C8" s="133" t="n">
        <v>1</v>
      </c>
      <c r="D8" s="121" t="s">
        <v>197</v>
      </c>
      <c r="E8" s="122" t="s">
        <v>185</v>
      </c>
      <c r="F8" s="119" t="s">
        <v>175</v>
      </c>
      <c r="G8" s="137" t="s">
        <v>198</v>
      </c>
      <c r="H8" s="137" t="s">
        <v>199</v>
      </c>
    </row>
    <row r="9" customFormat="false" ht="12.9" hidden="false" customHeight="false" outlineLevel="0" collapsed="false">
      <c r="A9" s="119" t="s">
        <v>165</v>
      </c>
      <c r="B9" s="120" t="s">
        <v>200</v>
      </c>
      <c r="C9" s="133" t="n">
        <v>1</v>
      </c>
      <c r="D9" s="140" t="s">
        <v>201</v>
      </c>
      <c r="E9" s="122" t="s">
        <v>185</v>
      </c>
      <c r="F9" s="119" t="s">
        <v>175</v>
      </c>
      <c r="G9" s="121" t="s">
        <v>202</v>
      </c>
      <c r="H9" s="141" t="s">
        <v>203</v>
      </c>
    </row>
    <row r="10" customFormat="false" ht="24.85" hidden="false" customHeight="false" outlineLevel="0" collapsed="false">
      <c r="A10" s="119" t="s">
        <v>165</v>
      </c>
      <c r="B10" s="120" t="s">
        <v>204</v>
      </c>
      <c r="C10" s="133" t="n">
        <v>1</v>
      </c>
      <c r="D10" s="134" t="s">
        <v>205</v>
      </c>
      <c r="E10" s="122" t="s">
        <v>185</v>
      </c>
      <c r="F10" s="119" t="s">
        <v>175</v>
      </c>
      <c r="G10" s="135" t="s">
        <v>206</v>
      </c>
      <c r="H10" s="136" t="s">
        <v>207</v>
      </c>
    </row>
    <row r="11" customFormat="false" ht="12.9" hidden="false" customHeight="false" outlineLevel="0" collapsed="false">
      <c r="A11" s="119" t="s">
        <v>165</v>
      </c>
      <c r="B11" s="120" t="s">
        <v>208</v>
      </c>
      <c r="C11" s="133" t="n">
        <v>1</v>
      </c>
      <c r="D11" s="134" t="s">
        <v>209</v>
      </c>
      <c r="E11" s="122" t="s">
        <v>210</v>
      </c>
      <c r="F11" s="119" t="s">
        <v>121</v>
      </c>
      <c r="G11" s="135" t="s">
        <v>123</v>
      </c>
      <c r="H11" s="136" t="s">
        <v>211</v>
      </c>
    </row>
    <row r="12" customFormat="false" ht="12.9" hidden="false" customHeight="false" outlineLevel="0" collapsed="false">
      <c r="A12" s="119" t="s">
        <v>165</v>
      </c>
      <c r="B12" s="120" t="s">
        <v>212</v>
      </c>
      <c r="C12" s="133" t="n">
        <v>1</v>
      </c>
      <c r="D12" s="121" t="s">
        <v>213</v>
      </c>
      <c r="E12" s="141" t="s">
        <v>214</v>
      </c>
      <c r="F12" s="119" t="s">
        <v>175</v>
      </c>
      <c r="G12" s="121" t="s">
        <v>215</v>
      </c>
      <c r="H12" s="141" t="s">
        <v>216</v>
      </c>
    </row>
    <row r="13" customFormat="false" ht="12.9" hidden="false" customHeight="false" outlineLevel="0" collapsed="false">
      <c r="A13" s="119" t="s">
        <v>165</v>
      </c>
      <c r="B13" s="120" t="s">
        <v>217</v>
      </c>
      <c r="C13" s="133" t="n">
        <v>1</v>
      </c>
      <c r="D13" s="121" t="s">
        <v>218</v>
      </c>
      <c r="E13" s="122" t="s">
        <v>185</v>
      </c>
      <c r="F13" s="119" t="s">
        <v>175</v>
      </c>
      <c r="G13" s="137" t="s">
        <v>219</v>
      </c>
      <c r="H13" s="137" t="s">
        <v>220</v>
      </c>
    </row>
    <row r="14" customFormat="false" ht="23.85" hidden="false" customHeight="false" outlineLevel="0" collapsed="false">
      <c r="A14" s="119" t="s">
        <v>165</v>
      </c>
      <c r="B14" s="120" t="s">
        <v>221</v>
      </c>
      <c r="C14" s="133" t="n">
        <v>1</v>
      </c>
      <c r="D14" s="134" t="s">
        <v>222</v>
      </c>
      <c r="E14" s="122" t="s">
        <v>185</v>
      </c>
      <c r="F14" s="119" t="s">
        <v>175</v>
      </c>
      <c r="G14" s="135" t="s">
        <v>223</v>
      </c>
      <c r="H14" s="136" t="s">
        <v>224</v>
      </c>
    </row>
    <row r="15" customFormat="false" ht="12.9" hidden="false" customHeight="false" outlineLevel="0" collapsed="false">
      <c r="A15" s="119" t="s">
        <v>165</v>
      </c>
      <c r="B15" s="120" t="s">
        <v>225</v>
      </c>
      <c r="C15" s="133" t="n">
        <v>1</v>
      </c>
      <c r="D15" s="134" t="s">
        <v>226</v>
      </c>
      <c r="E15" s="122" t="s">
        <v>185</v>
      </c>
      <c r="F15" s="119" t="s">
        <v>169</v>
      </c>
      <c r="G15" s="135" t="s">
        <v>227</v>
      </c>
      <c r="H15" s="136" t="s">
        <v>228</v>
      </c>
    </row>
    <row r="16" customFormat="false" ht="12.9" hidden="false" customHeight="false" outlineLevel="0" collapsed="false">
      <c r="A16" s="119" t="s">
        <v>165</v>
      </c>
      <c r="B16" s="120" t="s">
        <v>229</v>
      </c>
      <c r="C16" s="133" t="n">
        <v>1</v>
      </c>
      <c r="D16" s="121" t="s">
        <v>230</v>
      </c>
      <c r="E16" s="122" t="s">
        <v>185</v>
      </c>
      <c r="F16" s="119" t="s">
        <v>175</v>
      </c>
      <c r="G16" s="137" t="s">
        <v>231</v>
      </c>
      <c r="H16" s="137" t="s">
        <v>232</v>
      </c>
    </row>
    <row r="17" customFormat="false" ht="12.9" hidden="false" customHeight="false" outlineLevel="0" collapsed="false">
      <c r="A17" s="119" t="s">
        <v>165</v>
      </c>
      <c r="B17" s="120" t="s">
        <v>233</v>
      </c>
      <c r="C17" s="133" t="n">
        <v>1</v>
      </c>
      <c r="D17" s="134" t="n">
        <v>604</v>
      </c>
      <c r="E17" s="122" t="s">
        <v>185</v>
      </c>
      <c r="F17" s="119" t="s">
        <v>175</v>
      </c>
      <c r="G17" s="135" t="s">
        <v>234</v>
      </c>
      <c r="H17" s="136" t="s">
        <v>235</v>
      </c>
    </row>
    <row r="18" customFormat="false" ht="12.9" hidden="false" customHeight="false" outlineLevel="0" collapsed="false">
      <c r="A18" s="119" t="s">
        <v>165</v>
      </c>
      <c r="B18" s="120" t="s">
        <v>236</v>
      </c>
      <c r="C18" s="133" t="n">
        <v>8</v>
      </c>
      <c r="D18" s="134" t="s">
        <v>167</v>
      </c>
      <c r="E18" s="140" t="n">
        <v>1210</v>
      </c>
      <c r="F18" s="119" t="s">
        <v>175</v>
      </c>
      <c r="G18" s="123" t="s">
        <v>237</v>
      </c>
      <c r="H18" s="136" t="s">
        <v>238</v>
      </c>
    </row>
    <row r="19" customFormat="false" ht="12.9" hidden="false" customHeight="false" outlineLevel="0" collapsed="false">
      <c r="A19" s="119" t="s">
        <v>165</v>
      </c>
      <c r="B19" s="120" t="s">
        <v>239</v>
      </c>
      <c r="C19" s="133" t="n">
        <v>1</v>
      </c>
      <c r="D19" s="121" t="s">
        <v>240</v>
      </c>
      <c r="E19" s="141" t="s">
        <v>214</v>
      </c>
      <c r="F19" s="119" t="s">
        <v>175</v>
      </c>
      <c r="G19" s="121" t="s">
        <v>241</v>
      </c>
      <c r="H19" s="141" t="s">
        <v>242</v>
      </c>
    </row>
    <row r="20" customFormat="false" ht="12.9" hidden="false" customHeight="false" outlineLevel="0" collapsed="false">
      <c r="A20" s="119" t="s">
        <v>165</v>
      </c>
      <c r="B20" s="120" t="s">
        <v>243</v>
      </c>
      <c r="C20" s="133" t="n">
        <v>1</v>
      </c>
      <c r="D20" s="121" t="s">
        <v>244</v>
      </c>
      <c r="E20" s="141" t="n">
        <v>805</v>
      </c>
      <c r="F20" s="119" t="s">
        <v>175</v>
      </c>
      <c r="G20" s="121" t="s">
        <v>245</v>
      </c>
      <c r="H20" s="141" t="s">
        <v>246</v>
      </c>
    </row>
    <row r="21" customFormat="false" ht="24.85" hidden="false" customHeight="false" outlineLevel="0" collapsed="false">
      <c r="A21" s="119" t="s">
        <v>165</v>
      </c>
      <c r="B21" s="120" t="s">
        <v>247</v>
      </c>
      <c r="C21" s="133" t="n">
        <v>1</v>
      </c>
      <c r="D21" s="121" t="n">
        <v>330</v>
      </c>
      <c r="E21" s="141" t="n">
        <v>805</v>
      </c>
      <c r="F21" s="119" t="s">
        <v>175</v>
      </c>
      <c r="G21" s="121" t="s">
        <v>248</v>
      </c>
      <c r="H21" s="141" t="s">
        <v>249</v>
      </c>
    </row>
    <row r="22" customFormat="false" ht="23.85" hidden="false" customHeight="false" outlineLevel="0" collapsed="false">
      <c r="A22" s="119" t="s">
        <v>165</v>
      </c>
      <c r="B22" s="120" t="s">
        <v>250</v>
      </c>
      <c r="C22" s="133" t="n">
        <v>1</v>
      </c>
      <c r="D22" s="121" t="s">
        <v>251</v>
      </c>
      <c r="E22" s="140" t="n">
        <v>1206</v>
      </c>
      <c r="F22" s="119" t="s">
        <v>175</v>
      </c>
      <c r="G22" s="123" t="s">
        <v>252</v>
      </c>
      <c r="H22" s="136" t="s">
        <v>253</v>
      </c>
    </row>
    <row r="23" customFormat="false" ht="12.8" hidden="false" customHeight="false" outlineLevel="0" collapsed="false">
      <c r="C23" s="133"/>
      <c r="D23" s="134"/>
      <c r="G23" s="135"/>
      <c r="H23" s="136"/>
    </row>
    <row r="24" customFormat="false" ht="12.8" hidden="false" customHeight="false" outlineLevel="0" collapsed="false">
      <c r="C24" s="133"/>
      <c r="D24" s="134"/>
      <c r="G24" s="135"/>
      <c r="H24" s="136"/>
    </row>
    <row r="25" customFormat="false" ht="12.8" hidden="false" customHeight="false" outlineLevel="0" collapsed="false">
      <c r="C25" s="133"/>
      <c r="D25" s="134"/>
      <c r="G25" s="135"/>
      <c r="H25" s="136"/>
    </row>
    <row r="26" customFormat="false" ht="12.8" hidden="false" customHeight="false" outlineLevel="0" collapsed="false">
      <c r="C26" s="133"/>
      <c r="D26" s="134"/>
      <c r="G26" s="135"/>
      <c r="H26" s="136"/>
    </row>
    <row r="27" customFormat="false" ht="12.8" hidden="false" customHeight="false" outlineLevel="0" collapsed="false">
      <c r="C27" s="133"/>
      <c r="G27" s="137"/>
      <c r="H27" s="137"/>
    </row>
    <row r="28" customFormat="false" ht="12.8" hidden="false" customHeight="false" outlineLevel="0" collapsed="false">
      <c r="B28" s="139"/>
      <c r="C28" s="133"/>
      <c r="G28" s="137"/>
      <c r="H28" s="137"/>
    </row>
    <row r="29" customFormat="false" ht="12.8" hidden="false" customHeight="false" outlineLevel="0" collapsed="false">
      <c r="B29" s="139"/>
      <c r="C29" s="133"/>
      <c r="D29" s="140"/>
      <c r="G29" s="121"/>
      <c r="H29" s="141"/>
    </row>
    <row r="30" customFormat="false" ht="12.8" hidden="false" customHeight="false" outlineLevel="0" collapsed="false">
      <c r="B30" s="139"/>
      <c r="C30" s="133"/>
      <c r="D30" s="0"/>
      <c r="E30" s="0"/>
      <c r="F30" s="0"/>
      <c r="G30" s="0"/>
      <c r="H30" s="0"/>
    </row>
    <row r="31" customFormat="false" ht="12.8" hidden="false" customHeight="false" outlineLevel="0" collapsed="false">
      <c r="B31" s="139"/>
      <c r="C31" s="133"/>
      <c r="G31" s="137"/>
      <c r="H31" s="137"/>
    </row>
    <row r="32" customFormat="false" ht="12.8" hidden="false" customHeight="false" outlineLevel="0" collapsed="false">
      <c r="B32" s="139"/>
      <c r="C32" s="133"/>
      <c r="E32" s="0"/>
      <c r="F32" s="0"/>
      <c r="G32" s="0"/>
      <c r="H32" s="0"/>
    </row>
    <row r="33" customFormat="false" ht="12.8" hidden="false" customHeight="false" outlineLevel="0" collapsed="false">
      <c r="B33" s="139"/>
      <c r="C33" s="133"/>
      <c r="E33" s="141"/>
      <c r="G33" s="121"/>
      <c r="H33" s="141"/>
    </row>
    <row r="34" customFormat="false" ht="12.8" hidden="false" customHeight="false" outlineLevel="0" collapsed="false">
      <c r="B34" s="139"/>
      <c r="C34" s="0"/>
      <c r="D34" s="0"/>
      <c r="E34" s="0"/>
      <c r="F34" s="0"/>
      <c r="G34" s="0"/>
      <c r="H34" s="0"/>
    </row>
    <row r="35" customFormat="false" ht="12.8" hidden="false" customHeight="false" outlineLevel="0" collapsed="false">
      <c r="C35" s="133"/>
      <c r="D35" s="0"/>
      <c r="E35" s="0"/>
      <c r="F35" s="0"/>
      <c r="G35" s="0"/>
      <c r="H35" s="0"/>
    </row>
    <row r="36" customFormat="false" ht="12.8" hidden="false" customHeight="false" outlineLevel="0" collapsed="false">
      <c r="C36" s="133"/>
      <c r="D36" s="0"/>
      <c r="E36" s="0"/>
      <c r="F36" s="0"/>
      <c r="G36" s="0"/>
      <c r="H36" s="0"/>
    </row>
    <row r="38" s="133" customFormat="true" ht="12.8" hidden="false" customHeight="false" outlineLevel="0" collapsed="false">
      <c r="A38" s="119"/>
      <c r="B38" s="139"/>
      <c r="D38" s="121"/>
      <c r="E38" s="136"/>
      <c r="F38" s="119"/>
      <c r="G38" s="135"/>
      <c r="H38" s="136"/>
      <c r="I38" s="138"/>
      <c r="AMD38" s="126"/>
      <c r="AME38" s="126"/>
      <c r="AMF38" s="126"/>
      <c r="AMG38" s="126"/>
      <c r="AMH38" s="126"/>
      <c r="AMI38" s="0"/>
      <c r="AMJ38" s="0"/>
    </row>
    <row r="39" customFormat="false" ht="12.8" hidden="false" customHeight="false" outlineLevel="0" collapsed="false">
      <c r="B39" s="139"/>
      <c r="C39" s="133"/>
      <c r="G39" s="137"/>
      <c r="H39" s="137"/>
    </row>
    <row r="40" customFormat="false" ht="12.8" hidden="false" customHeight="false" outlineLevel="0" collapsed="false">
      <c r="B40" s="139"/>
      <c r="C40" s="133"/>
      <c r="D40" s="134"/>
      <c r="G40" s="137"/>
      <c r="H40" s="137"/>
    </row>
    <row r="41" customFormat="false" ht="12.8" hidden="false" customHeight="false" outlineLevel="0" collapsed="false">
      <c r="B41" s="139"/>
      <c r="C41" s="133"/>
      <c r="G41" s="137"/>
      <c r="H41" s="137"/>
    </row>
    <row r="42" customFormat="false" ht="12.8" hidden="false" customHeight="false" outlineLevel="0" collapsed="false">
      <c r="B42" s="139"/>
      <c r="C42" s="133"/>
      <c r="D42" s="0"/>
      <c r="E42" s="0"/>
      <c r="F42" s="0"/>
      <c r="G42" s="0"/>
      <c r="H42" s="0"/>
    </row>
    <row r="43" customFormat="false" ht="12.8" hidden="false" customHeight="false" outlineLevel="0" collapsed="false">
      <c r="B43" s="139"/>
      <c r="C43" s="133"/>
      <c r="D43" s="0"/>
      <c r="E43" s="0"/>
      <c r="F43" s="0"/>
      <c r="G43" s="0"/>
      <c r="H43" s="0"/>
    </row>
    <row r="44" customFormat="false" ht="12.8" hidden="false" customHeight="false" outlineLevel="0" collapsed="false">
      <c r="B44" s="139"/>
      <c r="C44" s="133"/>
      <c r="D44" s="0"/>
      <c r="E44" s="0"/>
      <c r="F44" s="0"/>
      <c r="G44" s="0"/>
      <c r="H44" s="0"/>
    </row>
    <row r="45" customFormat="false" ht="12.8" hidden="false" customHeight="false" outlineLevel="0" collapsed="false">
      <c r="B45" s="139"/>
      <c r="C45" s="133"/>
      <c r="G45" s="137"/>
      <c r="H45" s="137"/>
    </row>
    <row r="46" customFormat="false" ht="12.8" hidden="false" customHeight="false" outlineLevel="0" collapsed="false">
      <c r="B46" s="139"/>
      <c r="C46" s="133"/>
      <c r="G46" s="137"/>
      <c r="H46" s="137"/>
    </row>
    <row r="47" customFormat="false" ht="12.8" hidden="false" customHeight="false" outlineLevel="0" collapsed="false">
      <c r="B47" s="139"/>
      <c r="C47" s="133"/>
      <c r="D47" s="0"/>
      <c r="E47" s="0"/>
      <c r="F47" s="0"/>
      <c r="G47" s="0"/>
      <c r="H47" s="0"/>
    </row>
    <row r="49" customFormat="false" ht="12.8" hidden="false" customHeight="false" outlineLevel="0" collapsed="false">
      <c r="A49" s="142"/>
      <c r="B49" s="142"/>
      <c r="C49" s="142"/>
      <c r="D49" s="142"/>
      <c r="E49" s="142"/>
      <c r="F49" s="142"/>
      <c r="G49" s="142"/>
      <c r="H49" s="142"/>
    </row>
    <row r="50" customFormat="false" ht="12.8" hidden="false" customHeight="false" outlineLevel="0" collapsed="false">
      <c r="A50" s="142"/>
      <c r="B50" s="142"/>
      <c r="C50" s="142"/>
      <c r="D50" s="142"/>
      <c r="E50" s="142"/>
      <c r="F50" s="142"/>
      <c r="G50" s="142"/>
      <c r="H50" s="142"/>
    </row>
    <row r="51" customFormat="false" ht="12.8" hidden="false" customHeight="false" outlineLevel="0" collapsed="false">
      <c r="B51" s="139"/>
      <c r="C51" s="133"/>
      <c r="G51" s="121"/>
      <c r="H51" s="141"/>
    </row>
    <row r="52" customFormat="false" ht="12.8" hidden="false" customHeight="false" outlineLevel="0" collapsed="false">
      <c r="B52" s="139"/>
      <c r="C52" s="133"/>
      <c r="E52" s="141"/>
      <c r="G52" s="134"/>
      <c r="H52" s="140"/>
    </row>
    <row r="53" customFormat="false" ht="12.8" hidden="false" customHeight="false" outlineLevel="0" collapsed="false">
      <c r="B53" s="139"/>
      <c r="C53" s="133"/>
      <c r="E53" s="141"/>
      <c r="G53" s="121"/>
      <c r="H53" s="141"/>
    </row>
    <row r="54" customFormat="false" ht="12.8" hidden="false" customHeight="false" outlineLevel="0" collapsed="false">
      <c r="B54" s="139"/>
      <c r="C54" s="133"/>
      <c r="H54" s="139"/>
    </row>
    <row r="55" customFormat="false" ht="12.8" hidden="false" customHeight="false" outlineLevel="0" collapsed="false">
      <c r="B55" s="139"/>
      <c r="C55" s="133"/>
      <c r="G55" s="121"/>
      <c r="H55" s="141"/>
    </row>
    <row r="56" s="133" customFormat="true" ht="12.8" hidden="false" customHeight="false" outlineLevel="0" collapsed="false">
      <c r="A56" s="119"/>
      <c r="B56" s="139"/>
      <c r="D56" s="121"/>
      <c r="E56" s="122"/>
      <c r="F56" s="119"/>
      <c r="G56" s="121"/>
      <c r="H56" s="141"/>
      <c r="I56" s="138"/>
      <c r="AMD56" s="126"/>
      <c r="AME56" s="126"/>
      <c r="AMF56" s="126"/>
      <c r="AMG56" s="126"/>
      <c r="AMH56" s="126"/>
      <c r="AMI56" s="0"/>
      <c r="AMJ56" s="0"/>
    </row>
    <row r="57" customFormat="false" ht="12.8" hidden="false" customHeight="false" outlineLevel="0" collapsed="false">
      <c r="B57" s="139"/>
      <c r="C57" s="133"/>
      <c r="G57" s="143"/>
      <c r="H57" s="144"/>
    </row>
    <row r="58" customFormat="false" ht="12.8" hidden="false" customHeight="false" outlineLevel="0" collapsed="false">
      <c r="B58" s="139"/>
      <c r="C58" s="133"/>
      <c r="G58" s="135"/>
    </row>
    <row r="59" customFormat="false" ht="12.8" hidden="false" customHeight="false" outlineLevel="0" collapsed="false">
      <c r="B59" s="139"/>
      <c r="C59" s="133"/>
    </row>
    <row r="60" customFormat="false" ht="12.8" hidden="false" customHeight="false" outlineLevel="0" collapsed="false">
      <c r="B60" s="139"/>
      <c r="C60" s="133"/>
    </row>
    <row r="61" customFormat="false" ht="12.8" hidden="false" customHeight="false" outlineLevel="0" collapsed="false">
      <c r="B61" s="139"/>
      <c r="C61" s="133"/>
    </row>
    <row r="62" customFormat="false" ht="12.8" hidden="false" customHeight="false" outlineLevel="0" collapsed="false">
      <c r="B62" s="139"/>
      <c r="C62" s="133"/>
    </row>
    <row r="63" customFormat="false" ht="12.8" hidden="false" customHeight="false" outlineLevel="0" collapsed="false">
      <c r="B63" s="139"/>
      <c r="C63" s="133"/>
      <c r="G63" s="135"/>
      <c r="H63" s="144"/>
    </row>
    <row r="64" s="133" customFormat="true" ht="12.8" hidden="false" customHeight="false" outlineLevel="0" collapsed="false">
      <c r="A64" s="119"/>
      <c r="B64" s="139"/>
      <c r="D64" s="121"/>
      <c r="E64" s="122"/>
      <c r="F64" s="119"/>
      <c r="G64" s="135"/>
      <c r="H64" s="124"/>
      <c r="I64" s="138"/>
      <c r="AMD64" s="126"/>
      <c r="AME64" s="126"/>
      <c r="AMF64" s="126"/>
      <c r="AMG64" s="126"/>
      <c r="AMH64" s="126"/>
      <c r="AMI64" s="0"/>
      <c r="AMJ64" s="0"/>
    </row>
    <row r="65" customFormat="false" ht="12.8" hidden="false" customHeight="false" outlineLevel="0" collapsed="false">
      <c r="B65" s="139"/>
      <c r="C65" s="133"/>
      <c r="G65" s="135"/>
    </row>
    <row r="66" customFormat="false" ht="12.8" hidden="false" customHeight="false" outlineLevel="0" collapsed="false">
      <c r="B66" s="139"/>
      <c r="C66" s="133"/>
      <c r="G66" s="119"/>
      <c r="H66" s="120"/>
    </row>
    <row r="67" customFormat="false" ht="12.8" hidden="false" customHeight="false" outlineLevel="0" collapsed="false">
      <c r="B67" s="139"/>
      <c r="C67" s="133"/>
    </row>
    <row r="68" customFormat="false" ht="12.8" hidden="false" customHeight="false" outlineLevel="0" collapsed="false">
      <c r="B68" s="139"/>
      <c r="C68" s="133"/>
      <c r="G68" s="135"/>
    </row>
    <row r="69" customFormat="false" ht="12.8" hidden="false" customHeight="false" outlineLevel="0" collapsed="false">
      <c r="B69" s="139"/>
      <c r="C69" s="133"/>
      <c r="G69" s="135"/>
    </row>
    <row r="70" customFormat="false" ht="12.8" hidden="false" customHeight="false" outlineLevel="0" collapsed="false">
      <c r="B70" s="139"/>
      <c r="C70" s="133"/>
    </row>
    <row r="71" customFormat="false" ht="12.8" hidden="false" customHeight="false" outlineLevel="0" collapsed="false">
      <c r="B71" s="139"/>
      <c r="C71" s="133"/>
      <c r="H71" s="139"/>
    </row>
    <row r="72" customFormat="false" ht="12.8" hidden="false" customHeight="false" outlineLevel="0" collapsed="false">
      <c r="B72" s="139"/>
      <c r="C72" s="133"/>
      <c r="G72" s="135"/>
      <c r="H72" s="120"/>
    </row>
    <row r="73" customFormat="false" ht="12.8" hidden="false" customHeight="false" outlineLevel="0" collapsed="false">
      <c r="B73" s="139"/>
      <c r="C73" s="133"/>
      <c r="G73" s="145"/>
    </row>
    <row r="74" customFormat="false" ht="12.8" hidden="false" customHeight="false" outlineLevel="0" collapsed="false">
      <c r="B74" s="139"/>
      <c r="C74" s="133"/>
      <c r="G74" s="145"/>
    </row>
    <row r="75" customFormat="false" ht="12.8" hidden="false" customHeight="false" outlineLevel="0" collapsed="false">
      <c r="B75" s="139"/>
      <c r="C75" s="133"/>
    </row>
    <row r="76" customFormat="false" ht="12.8" hidden="false" customHeight="false" outlineLevel="0" collapsed="false">
      <c r="B76" s="139"/>
      <c r="C76" s="133"/>
      <c r="G76" s="135"/>
    </row>
    <row r="77" customFormat="false" ht="12.8" hidden="false" customHeight="false" outlineLevel="0" collapsed="false">
      <c r="B77" s="139"/>
      <c r="C77" s="133"/>
    </row>
    <row r="78" customFormat="false" ht="12.8" hidden="false" customHeight="false" outlineLevel="0" collapsed="false">
      <c r="B78" s="139"/>
      <c r="C78" s="133"/>
      <c r="G78" s="135"/>
    </row>
    <row r="79" customFormat="false" ht="12.8" hidden="false" customHeight="false" outlineLevel="0" collapsed="false">
      <c r="B79" s="139"/>
      <c r="C79" s="133"/>
    </row>
    <row r="80" customFormat="false" ht="12.8" hidden="false" customHeight="false" outlineLevel="0" collapsed="false">
      <c r="B80" s="139"/>
      <c r="C80" s="133"/>
    </row>
    <row r="81" customFormat="false" ht="12.8" hidden="false" customHeight="false" outlineLevel="0" collapsed="false">
      <c r="B81" s="139"/>
      <c r="C81" s="133"/>
    </row>
    <row r="82" customFormat="false" ht="12.8" hidden="false" customHeight="false" outlineLevel="0" collapsed="false">
      <c r="B82" s="139"/>
      <c r="C82" s="133"/>
    </row>
    <row r="83" customFormat="false" ht="12.8" hidden="false" customHeight="false" outlineLevel="0" collapsed="false">
      <c r="B83" s="139"/>
      <c r="C83" s="133"/>
    </row>
    <row r="84" customFormat="false" ht="12.8" hidden="false" customHeight="false" outlineLevel="0" collapsed="false">
      <c r="B84" s="139"/>
      <c r="C84" s="133"/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44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11.53515625" defaultRowHeight="12.8" zeroHeight="true" outlineLevelRow="0" outlineLevelCol="0"/>
  <cols>
    <col collapsed="false" customWidth="true" hidden="false" outlineLevel="0" max="1" min="1" style="0" width="7.58"/>
    <col collapsed="false" customWidth="true" hidden="false" outlineLevel="0" max="12" min="2" style="0" width="14.92"/>
    <col collapsed="false" customWidth="true" hidden="false" outlineLevel="0" max="13" min="13" style="0" width="7.58"/>
    <col collapsed="false" customWidth="true" hidden="true" outlineLevel="0" max="64" min="14" style="0" width="14.92"/>
  </cols>
  <sheetData>
    <row r="1" customFormat="false" ht="30" hidden="false" customHeight="true" outlineLevel="0" collapsed="false">
      <c r="A1" s="146" t="s">
        <v>254</v>
      </c>
      <c r="B1" s="147" t="s">
        <v>255</v>
      </c>
      <c r="C1" s="147"/>
      <c r="D1" s="147"/>
      <c r="E1" s="147" t="s">
        <v>256</v>
      </c>
      <c r="F1" s="147"/>
      <c r="G1" s="147" t="s">
        <v>257</v>
      </c>
      <c r="H1" s="147"/>
      <c r="I1" s="147"/>
      <c r="J1" s="147" t="s">
        <v>258</v>
      </c>
      <c r="K1" s="147"/>
      <c r="L1" s="147"/>
      <c r="M1" s="148" t="s">
        <v>254</v>
      </c>
    </row>
    <row r="2" customFormat="false" ht="12.8" hidden="false" customHeight="false" outlineLevel="0" collapsed="false">
      <c r="A2" s="146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8"/>
    </row>
    <row r="3" customFormat="false" ht="12.8" hidden="false" customHeight="true" outlineLevel="0" collapsed="false">
      <c r="A3" s="146"/>
      <c r="B3" s="147" t="s">
        <v>259</v>
      </c>
      <c r="C3" s="147" t="s">
        <v>260</v>
      </c>
      <c r="D3" s="149" t="s">
        <v>261</v>
      </c>
      <c r="E3" s="147" t="s">
        <v>262</v>
      </c>
      <c r="F3" s="147" t="s">
        <v>263</v>
      </c>
      <c r="G3" s="149" t="s">
        <v>264</v>
      </c>
      <c r="H3" s="147" t="s">
        <v>265</v>
      </c>
      <c r="I3" s="147" t="s">
        <v>266</v>
      </c>
      <c r="J3" s="147" t="s">
        <v>267</v>
      </c>
      <c r="K3" s="147" t="s">
        <v>268</v>
      </c>
      <c r="L3" s="147" t="s">
        <v>269</v>
      </c>
      <c r="M3" s="148"/>
    </row>
    <row r="4" customFormat="false" ht="12.8" hidden="false" customHeight="false" outlineLevel="0" collapsed="false">
      <c r="A4" s="146"/>
      <c r="B4" s="147"/>
      <c r="C4" s="147"/>
      <c r="D4" s="149"/>
      <c r="E4" s="147"/>
      <c r="F4" s="147"/>
      <c r="G4" s="149"/>
      <c r="H4" s="147"/>
      <c r="I4" s="147"/>
      <c r="J4" s="147"/>
      <c r="K4" s="147"/>
      <c r="L4" s="147"/>
      <c r="M4" s="148"/>
    </row>
    <row r="5" customFormat="false" ht="12.8" hidden="false" customHeight="false" outlineLevel="0" collapsed="false">
      <c r="A5" s="150" t="n">
        <v>40</v>
      </c>
      <c r="B5" s="151" t="n">
        <v>0.00314</v>
      </c>
      <c r="C5" s="152" t="n">
        <v>0.0799</v>
      </c>
      <c r="D5" s="153" t="n">
        <v>0.102</v>
      </c>
      <c r="E5" s="154" t="n">
        <v>318</v>
      </c>
      <c r="F5" s="155" t="n">
        <v>125</v>
      </c>
      <c r="G5" s="156" t="n">
        <v>0.00989</v>
      </c>
      <c r="H5" s="157" t="n">
        <f aca="false">I5/100</f>
        <v>5.01E-005</v>
      </c>
      <c r="I5" s="158" t="n">
        <v>0.00501</v>
      </c>
      <c r="J5" s="159" t="n">
        <v>3441</v>
      </c>
      <c r="K5" s="152" t="n">
        <f aca="false">J5*10</f>
        <v>34410</v>
      </c>
      <c r="L5" s="153" t="n">
        <v>1049</v>
      </c>
      <c r="M5" s="160" t="n">
        <v>40</v>
      </c>
    </row>
    <row r="6" customFormat="false" ht="12.8" hidden="false" customHeight="false" outlineLevel="0" collapsed="false">
      <c r="A6" s="161" t="n">
        <v>39</v>
      </c>
      <c r="B6" s="151" t="n">
        <v>0.00353</v>
      </c>
      <c r="C6" s="162" t="n">
        <v>0.0897</v>
      </c>
      <c r="D6" s="153" t="n">
        <v>0.114</v>
      </c>
      <c r="E6" s="163" t="n">
        <v>283</v>
      </c>
      <c r="F6" s="155" t="n">
        <v>111</v>
      </c>
      <c r="G6" s="164" t="n">
        <v>0.0125</v>
      </c>
      <c r="H6" s="157" t="n">
        <f aca="false">I6/100</f>
        <v>6.32E-005</v>
      </c>
      <c r="I6" s="165" t="n">
        <v>0.00632</v>
      </c>
      <c r="J6" s="159" t="n">
        <v>2729</v>
      </c>
      <c r="K6" s="162" t="n">
        <f aca="false">J6*10</f>
        <v>27290</v>
      </c>
      <c r="L6" s="153" t="n">
        <v>831.8</v>
      </c>
      <c r="M6" s="166" t="n">
        <v>39</v>
      </c>
    </row>
    <row r="7" customFormat="false" ht="12.8" hidden="false" customHeight="false" outlineLevel="0" collapsed="false">
      <c r="A7" s="150" t="n">
        <v>38</v>
      </c>
      <c r="B7" s="151" t="n">
        <v>0.00397</v>
      </c>
      <c r="C7" s="152" t="n">
        <v>0.101</v>
      </c>
      <c r="D7" s="153" t="n">
        <v>0.13</v>
      </c>
      <c r="E7" s="154" t="n">
        <v>252</v>
      </c>
      <c r="F7" s="155" t="n">
        <v>99.3</v>
      </c>
      <c r="G7" s="156" t="n">
        <v>0.0157</v>
      </c>
      <c r="H7" s="157" t="n">
        <f aca="false">I7/100</f>
        <v>7.97E-005</v>
      </c>
      <c r="I7" s="158" t="n">
        <v>0.00797</v>
      </c>
      <c r="J7" s="159" t="n">
        <v>2164</v>
      </c>
      <c r="K7" s="152" t="n">
        <f aca="false">J7*10</f>
        <v>21640</v>
      </c>
      <c r="L7" s="153" t="n">
        <v>659.6</v>
      </c>
      <c r="M7" s="160" t="n">
        <v>38</v>
      </c>
    </row>
    <row r="8" customFormat="false" ht="12.8" hidden="false" customHeight="false" outlineLevel="0" collapsed="false">
      <c r="A8" s="161" t="n">
        <v>37</v>
      </c>
      <c r="B8" s="151" t="n">
        <v>0.00445</v>
      </c>
      <c r="C8" s="162" t="n">
        <v>0.113</v>
      </c>
      <c r="D8" s="153" t="n">
        <v>0.145</v>
      </c>
      <c r="E8" s="163" t="n">
        <v>225</v>
      </c>
      <c r="F8" s="155" t="n">
        <v>88.4</v>
      </c>
      <c r="G8" s="164" t="n">
        <v>0.0198</v>
      </c>
      <c r="H8" s="157" t="n">
        <f aca="false">I8/100</f>
        <v>0.0001</v>
      </c>
      <c r="I8" s="165" t="n">
        <v>0.01</v>
      </c>
      <c r="J8" s="159" t="n">
        <v>1716</v>
      </c>
      <c r="K8" s="162" t="n">
        <f aca="false">J8*10</f>
        <v>17160</v>
      </c>
      <c r="L8" s="153" t="n">
        <v>523.1</v>
      </c>
      <c r="M8" s="166" t="n">
        <v>37</v>
      </c>
    </row>
    <row r="9" customFormat="false" ht="15.65" hidden="false" customHeight="false" outlineLevel="0" collapsed="false">
      <c r="A9" s="150" t="n">
        <v>36</v>
      </c>
      <c r="B9" s="167" t="n">
        <v>0.005</v>
      </c>
      <c r="C9" s="168" t="n">
        <v>0.127</v>
      </c>
      <c r="D9" s="169" t="n">
        <v>0.16</v>
      </c>
      <c r="E9" s="154" t="n">
        <v>200</v>
      </c>
      <c r="F9" s="155" t="n">
        <v>78.7</v>
      </c>
      <c r="G9" s="156" t="n">
        <v>0.025</v>
      </c>
      <c r="H9" s="157" t="n">
        <f aca="false">I9/100</f>
        <v>0.000127</v>
      </c>
      <c r="I9" s="158" t="n">
        <v>0.0127</v>
      </c>
      <c r="J9" s="159" t="n">
        <v>1361</v>
      </c>
      <c r="K9" s="152" t="n">
        <f aca="false">J9*10</f>
        <v>13610</v>
      </c>
      <c r="L9" s="153" t="n">
        <v>414.8</v>
      </c>
      <c r="M9" s="160" t="n">
        <v>36</v>
      </c>
    </row>
    <row r="10" customFormat="false" ht="12.8" hidden="false" customHeight="false" outlineLevel="0" collapsed="false">
      <c r="A10" s="161" t="n">
        <v>35</v>
      </c>
      <c r="B10" s="151" t="n">
        <v>0.00561</v>
      </c>
      <c r="C10" s="162" t="n">
        <v>0.143</v>
      </c>
      <c r="D10" s="153" t="n">
        <v>0.178</v>
      </c>
      <c r="E10" s="163" t="n">
        <v>178</v>
      </c>
      <c r="F10" s="155" t="n">
        <v>70.1</v>
      </c>
      <c r="G10" s="164" t="n">
        <v>0.0315</v>
      </c>
      <c r="H10" s="157" t="n">
        <f aca="false">I10/100</f>
        <v>0.00016</v>
      </c>
      <c r="I10" s="165" t="n">
        <v>0.016</v>
      </c>
      <c r="J10" s="159" t="n">
        <v>1079</v>
      </c>
      <c r="K10" s="162" t="n">
        <f aca="false">J10*10</f>
        <v>10790</v>
      </c>
      <c r="L10" s="153" t="n">
        <v>329</v>
      </c>
      <c r="M10" s="166" t="n">
        <v>35</v>
      </c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</row>
    <row r="11" customFormat="false" ht="12.8" hidden="false" customHeight="false" outlineLevel="0" collapsed="false">
      <c r="A11" s="150" t="n">
        <v>34</v>
      </c>
      <c r="B11" s="151" t="n">
        <v>0.0063</v>
      </c>
      <c r="C11" s="152" t="n">
        <v>0.16</v>
      </c>
      <c r="D11" s="153" t="n">
        <v>0.198</v>
      </c>
      <c r="E11" s="154" t="n">
        <v>159</v>
      </c>
      <c r="F11" s="155" t="n">
        <v>62.4</v>
      </c>
      <c r="G11" s="156" t="n">
        <v>0.0398</v>
      </c>
      <c r="H11" s="157" t="n">
        <f aca="false">I11/100</f>
        <v>0.000201</v>
      </c>
      <c r="I11" s="158" t="n">
        <v>0.0201</v>
      </c>
      <c r="J11" s="159" t="n">
        <v>856</v>
      </c>
      <c r="K11" s="152" t="n">
        <f aca="false">J11*10</f>
        <v>8560</v>
      </c>
      <c r="L11" s="153" t="n">
        <v>260.9</v>
      </c>
      <c r="M11" s="160" t="n">
        <v>34</v>
      </c>
    </row>
    <row r="12" customFormat="false" ht="12.8" hidden="false" customHeight="false" outlineLevel="0" collapsed="false">
      <c r="A12" s="161" t="n">
        <v>33</v>
      </c>
      <c r="B12" s="151" t="n">
        <v>0.00708</v>
      </c>
      <c r="C12" s="162" t="n">
        <v>0.18</v>
      </c>
      <c r="D12" s="153" t="n">
        <v>0.224</v>
      </c>
      <c r="E12" s="163" t="n">
        <v>141</v>
      </c>
      <c r="F12" s="155" t="n">
        <v>55.6</v>
      </c>
      <c r="G12" s="164" t="n">
        <v>0.0501</v>
      </c>
      <c r="H12" s="157" t="n">
        <f aca="false">I12/100</f>
        <v>0.000254</v>
      </c>
      <c r="I12" s="165" t="n">
        <v>0.0254</v>
      </c>
      <c r="J12" s="159" t="n">
        <v>678.8</v>
      </c>
      <c r="K12" s="162" t="n">
        <f aca="false">J12*10</f>
        <v>6788</v>
      </c>
      <c r="L12" s="153" t="n">
        <v>206.9</v>
      </c>
      <c r="M12" s="166" t="n">
        <v>33</v>
      </c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</row>
    <row r="13" customFormat="false" ht="12.8" hidden="false" customHeight="false" outlineLevel="0" collapsed="false">
      <c r="A13" s="150" t="n">
        <v>32</v>
      </c>
      <c r="B13" s="151" t="n">
        <v>0.00795</v>
      </c>
      <c r="C13" s="152" t="n">
        <v>0.202</v>
      </c>
      <c r="D13" s="153" t="n">
        <v>0.249</v>
      </c>
      <c r="E13" s="154" t="n">
        <v>126</v>
      </c>
      <c r="F13" s="155" t="n">
        <v>49.5</v>
      </c>
      <c r="G13" s="156" t="n">
        <v>0.0632</v>
      </c>
      <c r="H13" s="157" t="n">
        <f aca="false">I13/100</f>
        <v>0.00032</v>
      </c>
      <c r="I13" s="158" t="n">
        <v>0.032</v>
      </c>
      <c r="J13" s="159" t="n">
        <v>538.3</v>
      </c>
      <c r="K13" s="152" t="n">
        <f aca="false">J13*10</f>
        <v>5383</v>
      </c>
      <c r="L13" s="153" t="n">
        <v>164.1</v>
      </c>
      <c r="M13" s="160" t="n">
        <v>32</v>
      </c>
    </row>
    <row r="14" customFormat="false" ht="12.8" hidden="false" customHeight="false" outlineLevel="0" collapsed="false">
      <c r="A14" s="161" t="n">
        <v>31</v>
      </c>
      <c r="B14" s="151" t="n">
        <v>0.00893</v>
      </c>
      <c r="C14" s="162" t="n">
        <v>0.227</v>
      </c>
      <c r="D14" s="153" t="n">
        <v>0.274</v>
      </c>
      <c r="E14" s="163" t="n">
        <v>112</v>
      </c>
      <c r="F14" s="155" t="n">
        <v>44.1</v>
      </c>
      <c r="G14" s="164" t="n">
        <v>0.0797</v>
      </c>
      <c r="H14" s="157" t="n">
        <f aca="false">I14/100</f>
        <v>0.000404</v>
      </c>
      <c r="I14" s="165" t="n">
        <v>0.0404</v>
      </c>
      <c r="J14" s="159" t="n">
        <v>426.9</v>
      </c>
      <c r="K14" s="162" t="n">
        <f aca="false">J14*10</f>
        <v>4269</v>
      </c>
      <c r="L14" s="153" t="n">
        <v>130.1</v>
      </c>
      <c r="M14" s="166" t="n">
        <v>31</v>
      </c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</row>
    <row r="15" customFormat="false" ht="12.8" hidden="false" customHeight="false" outlineLevel="0" collapsed="false">
      <c r="A15" s="150" t="n">
        <v>30</v>
      </c>
      <c r="B15" s="151" t="n">
        <v>0.01</v>
      </c>
      <c r="C15" s="152" t="n">
        <v>0.255</v>
      </c>
      <c r="D15" s="153" t="n">
        <v>0.302</v>
      </c>
      <c r="E15" s="154" t="n">
        <v>99.7</v>
      </c>
      <c r="F15" s="155" t="n">
        <v>39.3</v>
      </c>
      <c r="G15" s="156" t="n">
        <v>0.101</v>
      </c>
      <c r="H15" s="157" t="n">
        <f aca="false">I15/100</f>
        <v>0.000509</v>
      </c>
      <c r="I15" s="158" t="n">
        <v>0.0509</v>
      </c>
      <c r="J15" s="159" t="n">
        <v>338.6</v>
      </c>
      <c r="K15" s="152" t="n">
        <f aca="false">J15*10</f>
        <v>3386</v>
      </c>
      <c r="L15" s="153" t="n">
        <v>103.2</v>
      </c>
      <c r="M15" s="160" t="n">
        <v>30</v>
      </c>
    </row>
    <row r="16" customFormat="false" ht="12.8" hidden="false" customHeight="false" outlineLevel="0" collapsed="false">
      <c r="A16" s="161" t="n">
        <v>29</v>
      </c>
      <c r="B16" s="151" t="n">
        <v>0.0113</v>
      </c>
      <c r="C16" s="162" t="n">
        <v>0.286</v>
      </c>
      <c r="D16" s="153" t="n">
        <v>0.338</v>
      </c>
      <c r="E16" s="163" t="n">
        <v>88.8</v>
      </c>
      <c r="F16" s="155" t="n">
        <v>35</v>
      </c>
      <c r="G16" s="164" t="n">
        <v>0.127</v>
      </c>
      <c r="H16" s="157" t="n">
        <f aca="false">I16/100</f>
        <v>0.000642</v>
      </c>
      <c r="I16" s="165" t="n">
        <v>0.0642</v>
      </c>
      <c r="J16" s="159" t="n">
        <v>268.5</v>
      </c>
      <c r="K16" s="162" t="n">
        <f aca="false">J16*10</f>
        <v>2685</v>
      </c>
      <c r="L16" s="153" t="n">
        <v>81.84</v>
      </c>
      <c r="M16" s="166" t="n">
        <v>29</v>
      </c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</row>
    <row r="17" customFormat="false" ht="12.8" hidden="false" customHeight="false" outlineLevel="0" collapsed="false">
      <c r="A17" s="150" t="n">
        <v>28</v>
      </c>
      <c r="B17" s="151" t="n">
        <v>0.0126</v>
      </c>
      <c r="C17" s="152" t="n">
        <v>0.321</v>
      </c>
      <c r="D17" s="153" t="n">
        <v>0.373</v>
      </c>
      <c r="E17" s="154" t="n">
        <v>79.1</v>
      </c>
      <c r="F17" s="155" t="n">
        <v>31.1</v>
      </c>
      <c r="G17" s="156" t="n">
        <v>0.16</v>
      </c>
      <c r="H17" s="157" t="n">
        <f aca="false">I17/100</f>
        <v>0.00081</v>
      </c>
      <c r="I17" s="158" t="n">
        <v>0.081</v>
      </c>
      <c r="J17" s="159" t="n">
        <v>212.9</v>
      </c>
      <c r="K17" s="152" t="n">
        <f aca="false">J17*10</f>
        <v>2129</v>
      </c>
      <c r="L17" s="153" t="n">
        <v>64.9</v>
      </c>
      <c r="M17" s="160" t="n">
        <v>28</v>
      </c>
    </row>
    <row r="18" customFormat="false" ht="12.8" hidden="false" customHeight="false" outlineLevel="0" collapsed="false">
      <c r="A18" s="161" t="n">
        <v>27</v>
      </c>
      <c r="B18" s="151" t="n">
        <v>0.0142</v>
      </c>
      <c r="C18" s="162" t="n">
        <v>0.361</v>
      </c>
      <c r="D18" s="153" t="n">
        <v>0.417</v>
      </c>
      <c r="E18" s="163" t="n">
        <v>70.4</v>
      </c>
      <c r="F18" s="155" t="n">
        <v>27.7</v>
      </c>
      <c r="G18" s="164" t="n">
        <v>0.202</v>
      </c>
      <c r="H18" s="157" t="n">
        <f aca="false">I18/100</f>
        <v>0.00102</v>
      </c>
      <c r="I18" s="165" t="n">
        <v>0.102</v>
      </c>
      <c r="J18" s="159" t="n">
        <v>168.9</v>
      </c>
      <c r="K18" s="162" t="n">
        <f aca="false">J18*10</f>
        <v>1689</v>
      </c>
      <c r="L18" s="153" t="n">
        <v>51.47</v>
      </c>
      <c r="M18" s="166" t="n">
        <v>27</v>
      </c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</row>
    <row r="19" customFormat="false" ht="12.8" hidden="false" customHeight="false" outlineLevel="0" collapsed="false">
      <c r="A19" s="150" t="n">
        <v>26</v>
      </c>
      <c r="B19" s="151" t="n">
        <v>0.0159</v>
      </c>
      <c r="C19" s="152" t="n">
        <v>0.405</v>
      </c>
      <c r="D19" s="153" t="n">
        <v>0.462</v>
      </c>
      <c r="E19" s="154" t="n">
        <v>62.7</v>
      </c>
      <c r="F19" s="155" t="n">
        <v>24.7</v>
      </c>
      <c r="G19" s="156" t="n">
        <v>0.254</v>
      </c>
      <c r="H19" s="157" t="n">
        <f aca="false">I19/100</f>
        <v>0.00129</v>
      </c>
      <c r="I19" s="158" t="n">
        <v>0.129</v>
      </c>
      <c r="J19" s="159" t="n">
        <v>133.9</v>
      </c>
      <c r="K19" s="152" t="n">
        <f aca="false">J19*10</f>
        <v>1339</v>
      </c>
      <c r="L19" s="153" t="n">
        <v>40.81</v>
      </c>
      <c r="M19" s="160" t="n">
        <v>26</v>
      </c>
    </row>
    <row r="20" customFormat="false" ht="12.8" hidden="false" customHeight="false" outlineLevel="0" collapsed="false">
      <c r="A20" s="161" t="n">
        <v>25</v>
      </c>
      <c r="B20" s="151" t="n">
        <v>0.0179</v>
      </c>
      <c r="C20" s="162" t="n">
        <v>0.455</v>
      </c>
      <c r="D20" s="153" t="n">
        <v>0.516</v>
      </c>
      <c r="E20" s="163" t="n">
        <v>55.9</v>
      </c>
      <c r="F20" s="155" t="n">
        <v>22</v>
      </c>
      <c r="G20" s="164" t="n">
        <v>0.32</v>
      </c>
      <c r="H20" s="157" t="n">
        <f aca="false">I20/100</f>
        <v>0.00162</v>
      </c>
      <c r="I20" s="165" t="n">
        <v>0.162</v>
      </c>
      <c r="J20" s="159" t="n">
        <v>106.2</v>
      </c>
      <c r="K20" s="162" t="n">
        <f aca="false">J20*10</f>
        <v>1062</v>
      </c>
      <c r="L20" s="153" t="n">
        <v>32.37</v>
      </c>
      <c r="M20" s="166" t="n">
        <v>25</v>
      </c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</row>
    <row r="21" customFormat="false" ht="12.8" hidden="false" customHeight="false" outlineLevel="0" collapsed="false">
      <c r="A21" s="150" t="n">
        <v>24</v>
      </c>
      <c r="B21" s="151" t="n">
        <v>0.0201</v>
      </c>
      <c r="C21" s="152" t="n">
        <v>0.511</v>
      </c>
      <c r="D21" s="153" t="n">
        <v>0.577</v>
      </c>
      <c r="E21" s="154" t="n">
        <v>49.7</v>
      </c>
      <c r="F21" s="155" t="n">
        <v>19.6</v>
      </c>
      <c r="G21" s="156" t="n">
        <v>0.404</v>
      </c>
      <c r="H21" s="157" t="n">
        <f aca="false">I21/100</f>
        <v>0.00205</v>
      </c>
      <c r="I21" s="158" t="n">
        <v>0.205</v>
      </c>
      <c r="J21" s="159" t="n">
        <v>84.22</v>
      </c>
      <c r="K21" s="152" t="n">
        <f aca="false">J21*10</f>
        <v>842.2</v>
      </c>
      <c r="L21" s="153" t="n">
        <v>25.67</v>
      </c>
      <c r="M21" s="160" t="n">
        <v>24</v>
      </c>
    </row>
    <row r="22" customFormat="false" ht="12.8" hidden="false" customHeight="false" outlineLevel="0" collapsed="false">
      <c r="A22" s="161" t="n">
        <v>23</v>
      </c>
      <c r="B22" s="151" t="n">
        <v>0.0226</v>
      </c>
      <c r="C22" s="162" t="n">
        <v>0.573</v>
      </c>
      <c r="D22" s="153" t="n">
        <v>0.642</v>
      </c>
      <c r="E22" s="163" t="n">
        <v>44.3</v>
      </c>
      <c r="F22" s="155" t="n">
        <v>17.4</v>
      </c>
      <c r="G22" s="164" t="n">
        <v>0.509</v>
      </c>
      <c r="H22" s="157" t="n">
        <f aca="false">I22/100</f>
        <v>0.00258</v>
      </c>
      <c r="I22" s="165" t="n">
        <v>0.258</v>
      </c>
      <c r="J22" s="159" t="n">
        <v>66.79</v>
      </c>
      <c r="K22" s="162" t="n">
        <f aca="false">J22*10</f>
        <v>667.9</v>
      </c>
      <c r="L22" s="153" t="n">
        <v>20.36</v>
      </c>
      <c r="M22" s="166" t="n">
        <v>23</v>
      </c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</row>
    <row r="23" customFormat="false" ht="12.8" hidden="false" customHeight="false" outlineLevel="0" collapsed="false">
      <c r="A23" s="150" t="n">
        <v>22</v>
      </c>
      <c r="B23" s="151" t="n">
        <v>0.0253</v>
      </c>
      <c r="C23" s="152" t="n">
        <v>0.644</v>
      </c>
      <c r="D23" s="153" t="n">
        <v>0.714</v>
      </c>
      <c r="E23" s="154" t="n">
        <v>39.5</v>
      </c>
      <c r="F23" s="155" t="n">
        <v>15.5</v>
      </c>
      <c r="G23" s="156" t="n">
        <v>0.642</v>
      </c>
      <c r="H23" s="157" t="n">
        <f aca="false">I23/100</f>
        <v>0.00326</v>
      </c>
      <c r="I23" s="158" t="n">
        <v>0.326</v>
      </c>
      <c r="J23" s="159" t="n">
        <v>52.96</v>
      </c>
      <c r="K23" s="152" t="n">
        <f aca="false">J23*10</f>
        <v>529.6</v>
      </c>
      <c r="L23" s="153" t="n">
        <v>16.14</v>
      </c>
      <c r="M23" s="160" t="n">
        <v>22</v>
      </c>
    </row>
    <row r="24" customFormat="false" ht="12.8" hidden="false" customHeight="false" outlineLevel="0" collapsed="false">
      <c r="A24" s="161" t="n">
        <v>21</v>
      </c>
      <c r="B24" s="151" t="n">
        <v>0.0285</v>
      </c>
      <c r="C24" s="162" t="n">
        <v>0.723</v>
      </c>
      <c r="D24" s="153" t="n">
        <v>0.798</v>
      </c>
      <c r="E24" s="163" t="n">
        <v>35.1</v>
      </c>
      <c r="F24" s="155" t="n">
        <v>13.8</v>
      </c>
      <c r="G24" s="164" t="n">
        <v>0.81</v>
      </c>
      <c r="H24" s="157" t="n">
        <f aca="false">I24/100</f>
        <v>0.0041</v>
      </c>
      <c r="I24" s="165" t="n">
        <v>0.41</v>
      </c>
      <c r="J24" s="159" t="n">
        <v>42</v>
      </c>
      <c r="K24" s="162" t="n">
        <f aca="false">J24*10</f>
        <v>420</v>
      </c>
      <c r="L24" s="153" t="n">
        <v>12.8</v>
      </c>
      <c r="M24" s="166" t="n">
        <v>21</v>
      </c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0"/>
      <c r="BB24" s="170"/>
      <c r="BC24" s="170"/>
      <c r="BD24" s="170"/>
      <c r="BE24" s="170"/>
      <c r="BF24" s="170"/>
      <c r="BG24" s="170"/>
      <c r="BH24" s="170"/>
      <c r="BI24" s="170"/>
      <c r="BJ24" s="170"/>
      <c r="BK24" s="170"/>
      <c r="BL24" s="170"/>
    </row>
    <row r="25" customFormat="false" ht="12.8" hidden="false" customHeight="false" outlineLevel="0" collapsed="false">
      <c r="A25" s="150" t="n">
        <v>20</v>
      </c>
      <c r="B25" s="151" t="n">
        <v>0.032</v>
      </c>
      <c r="C25" s="152" t="n">
        <v>0.812</v>
      </c>
      <c r="D25" s="153" t="n">
        <v>0.892</v>
      </c>
      <c r="E25" s="154" t="n">
        <v>31.3</v>
      </c>
      <c r="F25" s="155" t="n">
        <v>12.3</v>
      </c>
      <c r="G25" s="156" t="n">
        <v>1.02</v>
      </c>
      <c r="H25" s="157" t="n">
        <f aca="false">I25/100</f>
        <v>0.00518</v>
      </c>
      <c r="I25" s="158" t="n">
        <v>0.518</v>
      </c>
      <c r="J25" s="159" t="n">
        <v>33.31</v>
      </c>
      <c r="K25" s="152" t="n">
        <f aca="false">J25*10</f>
        <v>333.1</v>
      </c>
      <c r="L25" s="153" t="n">
        <v>10.15</v>
      </c>
      <c r="M25" s="160" t="n">
        <v>20</v>
      </c>
    </row>
    <row r="26" customFormat="false" ht="12.8" hidden="false" customHeight="false" outlineLevel="0" collapsed="false">
      <c r="A26" s="161" t="n">
        <v>19</v>
      </c>
      <c r="B26" s="151" t="n">
        <v>0.0359</v>
      </c>
      <c r="C26" s="162" t="n">
        <v>0.912</v>
      </c>
      <c r="D26" s="153" t="n">
        <v>0.993</v>
      </c>
      <c r="E26" s="163" t="n">
        <v>27.9</v>
      </c>
      <c r="F26" s="155" t="n">
        <v>11</v>
      </c>
      <c r="G26" s="164" t="n">
        <v>1.29</v>
      </c>
      <c r="H26" s="157" t="n">
        <f aca="false">I26/100</f>
        <v>0.00653</v>
      </c>
      <c r="I26" s="165" t="n">
        <v>0.653</v>
      </c>
      <c r="J26" s="159" t="n">
        <v>26.42</v>
      </c>
      <c r="K26" s="162" t="n">
        <f aca="false">J26*10</f>
        <v>264.2</v>
      </c>
      <c r="L26" s="153" t="n">
        <v>8.051</v>
      </c>
      <c r="M26" s="166" t="n">
        <v>19</v>
      </c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0"/>
      <c r="AY26" s="170"/>
      <c r="AZ26" s="170"/>
      <c r="BA26" s="170"/>
      <c r="BB26" s="170"/>
      <c r="BC26" s="170"/>
      <c r="BD26" s="170"/>
      <c r="BE26" s="170"/>
      <c r="BF26" s="170"/>
      <c r="BG26" s="170"/>
      <c r="BH26" s="170"/>
      <c r="BI26" s="170"/>
      <c r="BJ26" s="170"/>
      <c r="BK26" s="170"/>
      <c r="BL26" s="170"/>
    </row>
    <row r="27" customFormat="false" ht="12.8" hidden="false" customHeight="false" outlineLevel="0" collapsed="false">
      <c r="A27" s="150" t="n">
        <v>18</v>
      </c>
      <c r="B27" s="151" t="n">
        <v>0.0403</v>
      </c>
      <c r="C27" s="152" t="n">
        <v>1.024</v>
      </c>
      <c r="D27" s="153" t="n">
        <v>1.11</v>
      </c>
      <c r="E27" s="154" t="n">
        <v>24.8</v>
      </c>
      <c r="F27" s="155" t="n">
        <v>9.77</v>
      </c>
      <c r="G27" s="156" t="n">
        <v>1.62</v>
      </c>
      <c r="H27" s="157" t="n">
        <f aca="false">I27/100</f>
        <v>0.00823</v>
      </c>
      <c r="I27" s="158" t="n">
        <v>0.823</v>
      </c>
      <c r="J27" s="159" t="n">
        <v>20.95</v>
      </c>
      <c r="K27" s="152" t="n">
        <f aca="false">J27*10</f>
        <v>209.5</v>
      </c>
      <c r="L27" s="153" t="n">
        <v>6.385</v>
      </c>
      <c r="M27" s="160" t="n">
        <v>18</v>
      </c>
    </row>
    <row r="28" customFormat="false" ht="12.8" hidden="false" customHeight="false" outlineLevel="0" collapsed="false">
      <c r="A28" s="161" t="n">
        <v>17</v>
      </c>
      <c r="B28" s="151" t="n">
        <v>0.0453</v>
      </c>
      <c r="C28" s="162" t="n">
        <v>1.15</v>
      </c>
      <c r="D28" s="153" t="n">
        <v>1.24</v>
      </c>
      <c r="E28" s="163" t="n">
        <v>22.1</v>
      </c>
      <c r="F28" s="155" t="n">
        <v>8.7</v>
      </c>
      <c r="G28" s="164" t="n">
        <v>2.05</v>
      </c>
      <c r="H28" s="157" t="n">
        <f aca="false">I28/100</f>
        <v>0.0104</v>
      </c>
      <c r="I28" s="165" t="n">
        <v>1.04</v>
      </c>
      <c r="J28" s="159" t="n">
        <v>16.61</v>
      </c>
      <c r="K28" s="162" t="n">
        <f aca="false">J28*10</f>
        <v>166.1</v>
      </c>
      <c r="L28" s="153" t="n">
        <v>5.064</v>
      </c>
      <c r="M28" s="166" t="n">
        <v>17</v>
      </c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  <c r="AX28" s="170"/>
      <c r="AY28" s="170"/>
      <c r="AZ28" s="170"/>
      <c r="BA28" s="170"/>
      <c r="BB28" s="170"/>
      <c r="BC28" s="170"/>
      <c r="BD28" s="170"/>
      <c r="BE28" s="170"/>
      <c r="BF28" s="170"/>
      <c r="BG28" s="170"/>
      <c r="BH28" s="170"/>
      <c r="BI28" s="170"/>
      <c r="BJ28" s="170"/>
      <c r="BK28" s="170"/>
      <c r="BL28" s="170"/>
    </row>
    <row r="29" customFormat="false" ht="12.8" hidden="false" customHeight="false" outlineLevel="0" collapsed="false">
      <c r="A29" s="150" t="n">
        <v>16</v>
      </c>
      <c r="B29" s="151" t="n">
        <v>0.0508</v>
      </c>
      <c r="C29" s="152" t="n">
        <v>1.291</v>
      </c>
      <c r="D29" s="153" t="n">
        <v>1.384</v>
      </c>
      <c r="E29" s="154" t="n">
        <v>19.7</v>
      </c>
      <c r="F29" s="155" t="n">
        <v>7.75</v>
      </c>
      <c r="G29" s="156" t="n">
        <v>2.58</v>
      </c>
      <c r="H29" s="157" t="n">
        <f aca="false">I29/100</f>
        <v>0.0131</v>
      </c>
      <c r="I29" s="158" t="n">
        <v>1.31</v>
      </c>
      <c r="J29" s="159" t="n">
        <v>13.17</v>
      </c>
      <c r="K29" s="152" t="n">
        <f aca="false">J29*10</f>
        <v>131.7</v>
      </c>
      <c r="L29" s="153" t="n">
        <v>4.016</v>
      </c>
      <c r="M29" s="160" t="n">
        <v>16</v>
      </c>
    </row>
    <row r="30" customFormat="false" ht="12.8" hidden="false" customHeight="false" outlineLevel="0" collapsed="false">
      <c r="A30" s="161" t="n">
        <v>15</v>
      </c>
      <c r="B30" s="151" t="n">
        <v>0.0571</v>
      </c>
      <c r="C30" s="162" t="n">
        <v>1.45</v>
      </c>
      <c r="D30" s="153" t="n">
        <v>1.547</v>
      </c>
      <c r="E30" s="163" t="n">
        <v>17.5</v>
      </c>
      <c r="F30" s="155" t="n">
        <v>6.9</v>
      </c>
      <c r="G30" s="164" t="n">
        <v>3.26</v>
      </c>
      <c r="H30" s="157" t="n">
        <f aca="false">I30/100</f>
        <v>0.0165</v>
      </c>
      <c r="I30" s="165" t="n">
        <v>1.65</v>
      </c>
      <c r="J30" s="159" t="n">
        <v>10.45</v>
      </c>
      <c r="K30" s="162" t="n">
        <f aca="false">J30*10</f>
        <v>104.5</v>
      </c>
      <c r="L30" s="153" t="n">
        <v>3.184</v>
      </c>
      <c r="M30" s="166" t="n">
        <v>15</v>
      </c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0"/>
      <c r="AZ30" s="170"/>
      <c r="BA30" s="170"/>
      <c r="BB30" s="170"/>
      <c r="BC30" s="170"/>
      <c r="BD30" s="170"/>
      <c r="BE30" s="170"/>
      <c r="BF30" s="170"/>
      <c r="BG30" s="170"/>
      <c r="BH30" s="170"/>
      <c r="BI30" s="170"/>
      <c r="BJ30" s="170"/>
      <c r="BK30" s="170"/>
      <c r="BL30" s="170"/>
    </row>
    <row r="31" customFormat="false" ht="12.8" hidden="false" customHeight="false" outlineLevel="0" collapsed="false">
      <c r="A31" s="150" t="n">
        <v>14</v>
      </c>
      <c r="B31" s="151" t="n">
        <v>0.0641</v>
      </c>
      <c r="C31" s="152" t="n">
        <v>1.628</v>
      </c>
      <c r="D31" s="153" t="n">
        <v>1.732</v>
      </c>
      <c r="E31" s="154" t="n">
        <v>15.6</v>
      </c>
      <c r="F31" s="155" t="n">
        <v>6.14</v>
      </c>
      <c r="G31" s="156" t="n">
        <v>4.11</v>
      </c>
      <c r="H31" s="157" t="n">
        <f aca="false">I31/100</f>
        <v>0.0208</v>
      </c>
      <c r="I31" s="158" t="n">
        <v>2.08</v>
      </c>
      <c r="J31" s="159" t="n">
        <v>8.286</v>
      </c>
      <c r="K31" s="152" t="n">
        <f aca="false">J31*10</f>
        <v>82.86</v>
      </c>
      <c r="L31" s="153" t="n">
        <v>2.525</v>
      </c>
      <c r="M31" s="160" t="n">
        <v>14</v>
      </c>
    </row>
    <row r="32" customFormat="false" ht="12.8" hidden="false" customHeight="false" outlineLevel="0" collapsed="false">
      <c r="A32" s="161" t="n">
        <v>13</v>
      </c>
      <c r="B32" s="151" t="n">
        <v>0.072</v>
      </c>
      <c r="C32" s="162" t="n">
        <v>1.828</v>
      </c>
      <c r="D32" s="153" t="n">
        <v>1.934</v>
      </c>
      <c r="E32" s="163" t="n">
        <v>13.9</v>
      </c>
      <c r="F32" s="155" t="n">
        <v>5.47</v>
      </c>
      <c r="G32" s="164" t="n">
        <v>5.18</v>
      </c>
      <c r="H32" s="157" t="n">
        <f aca="false">I32/100</f>
        <v>0.0262</v>
      </c>
      <c r="I32" s="165" t="n">
        <v>2.62</v>
      </c>
      <c r="J32" s="159" t="n">
        <v>6.571</v>
      </c>
      <c r="K32" s="162" t="n">
        <f aca="false">J32*10</f>
        <v>65.71</v>
      </c>
      <c r="L32" s="153" t="n">
        <v>2.003</v>
      </c>
      <c r="M32" s="166" t="n">
        <v>13</v>
      </c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0"/>
      <c r="AS32" s="170"/>
      <c r="AT32" s="170"/>
      <c r="AU32" s="170"/>
      <c r="AV32" s="170"/>
      <c r="AW32" s="170"/>
      <c r="AX32" s="170"/>
      <c r="AY32" s="170"/>
      <c r="AZ32" s="170"/>
      <c r="BA32" s="170"/>
      <c r="BB32" s="170"/>
      <c r="BC32" s="170"/>
      <c r="BD32" s="170"/>
      <c r="BE32" s="170"/>
      <c r="BF32" s="170"/>
      <c r="BG32" s="170"/>
      <c r="BH32" s="170"/>
      <c r="BI32" s="170"/>
      <c r="BJ32" s="170"/>
      <c r="BK32" s="170"/>
      <c r="BL32" s="170"/>
    </row>
    <row r="33" customFormat="false" ht="12.8" hidden="false" customHeight="false" outlineLevel="0" collapsed="false">
      <c r="A33" s="150" t="n">
        <v>12</v>
      </c>
      <c r="B33" s="151" t="n">
        <v>0.0808</v>
      </c>
      <c r="C33" s="152" t="n">
        <v>2.053</v>
      </c>
      <c r="D33" s="153" t="n">
        <v>2.163</v>
      </c>
      <c r="E33" s="154" t="n">
        <v>12.4</v>
      </c>
      <c r="F33" s="155" t="n">
        <v>4.87</v>
      </c>
      <c r="G33" s="156" t="n">
        <v>6.53</v>
      </c>
      <c r="H33" s="157" t="n">
        <f aca="false">I33/100</f>
        <v>0.0331</v>
      </c>
      <c r="I33" s="158" t="n">
        <v>3.31</v>
      </c>
      <c r="J33" s="159" t="n">
        <v>5.211</v>
      </c>
      <c r="K33" s="152" t="n">
        <f aca="false">J33*10</f>
        <v>52.11</v>
      </c>
      <c r="L33" s="153" t="n">
        <v>1.588</v>
      </c>
      <c r="M33" s="160" t="n">
        <v>12</v>
      </c>
    </row>
    <row r="34" customFormat="false" ht="12.8" hidden="false" customHeight="false" outlineLevel="0" collapsed="false">
      <c r="A34" s="161" t="n">
        <v>11</v>
      </c>
      <c r="B34" s="151" t="n">
        <v>0.0907</v>
      </c>
      <c r="C34" s="162" t="n">
        <v>2.305</v>
      </c>
      <c r="D34" s="153" t="n">
        <v>2.418</v>
      </c>
      <c r="E34" s="163" t="n">
        <v>11</v>
      </c>
      <c r="F34" s="155" t="n">
        <v>4.34</v>
      </c>
      <c r="G34" s="164" t="n">
        <v>8.23</v>
      </c>
      <c r="H34" s="157" t="n">
        <f aca="false">I34/100</f>
        <v>0.0417</v>
      </c>
      <c r="I34" s="165" t="n">
        <v>4.17</v>
      </c>
      <c r="J34" s="159" t="n">
        <v>4.132</v>
      </c>
      <c r="K34" s="162" t="n">
        <f aca="false">J34*10</f>
        <v>41.32</v>
      </c>
      <c r="L34" s="153" t="n">
        <v>1.26</v>
      </c>
      <c r="M34" s="166" t="n">
        <v>11</v>
      </c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/>
      <c r="BG34" s="170"/>
      <c r="BH34" s="170"/>
      <c r="BI34" s="170"/>
      <c r="BJ34" s="170"/>
      <c r="BK34" s="170"/>
      <c r="BL34" s="170"/>
    </row>
    <row r="35" customFormat="false" ht="12.8" hidden="false" customHeight="false" outlineLevel="0" collapsed="false">
      <c r="A35" s="150" t="n">
        <v>10</v>
      </c>
      <c r="B35" s="151" t="n">
        <v>0.1019</v>
      </c>
      <c r="C35" s="152" t="n">
        <v>2.588</v>
      </c>
      <c r="D35" s="153" t="n">
        <v>2.703</v>
      </c>
      <c r="E35" s="154" t="n">
        <v>9.81</v>
      </c>
      <c r="F35" s="155" t="n">
        <v>3.86</v>
      </c>
      <c r="G35" s="156" t="n">
        <v>10.4</v>
      </c>
      <c r="H35" s="157" t="n">
        <f aca="false">I35/100</f>
        <v>0.0526</v>
      </c>
      <c r="I35" s="158" t="n">
        <v>5.26</v>
      </c>
      <c r="J35" s="159" t="n">
        <v>3.277</v>
      </c>
      <c r="K35" s="152" t="n">
        <f aca="false">J35*10</f>
        <v>32.77</v>
      </c>
      <c r="L35" s="153" t="n">
        <v>0.9989</v>
      </c>
      <c r="M35" s="160" t="n">
        <v>10</v>
      </c>
    </row>
    <row r="36" customFormat="false" ht="12.8" hidden="false" customHeight="false" outlineLevel="0" collapsed="false">
      <c r="A36" s="161" t="n">
        <v>9</v>
      </c>
      <c r="B36" s="151" t="n">
        <v>0.1144</v>
      </c>
      <c r="C36" s="162" t="n">
        <v>2.906</v>
      </c>
      <c r="D36" s="153" t="n">
        <v>0</v>
      </c>
      <c r="E36" s="163" t="n">
        <v>8.74</v>
      </c>
      <c r="F36" s="155" t="n">
        <v>3.44</v>
      </c>
      <c r="G36" s="164" t="n">
        <v>13.1</v>
      </c>
      <c r="H36" s="157" t="n">
        <f aca="false">I36/100</f>
        <v>0.0663</v>
      </c>
      <c r="I36" s="165" t="n">
        <v>6.63</v>
      </c>
      <c r="J36" s="159" t="n">
        <v>2.599</v>
      </c>
      <c r="K36" s="162" t="n">
        <f aca="false">J36*10</f>
        <v>25.99</v>
      </c>
      <c r="L36" s="153" t="n">
        <v>0.7921</v>
      </c>
      <c r="M36" s="166" t="n">
        <v>9</v>
      </c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  <c r="AN36" s="170"/>
      <c r="AO36" s="170"/>
      <c r="AP36" s="170"/>
      <c r="AQ36" s="170"/>
      <c r="AR36" s="170"/>
      <c r="AS36" s="170"/>
      <c r="AT36" s="170"/>
      <c r="AU36" s="170"/>
      <c r="AV36" s="170"/>
      <c r="AW36" s="170"/>
      <c r="AX36" s="170"/>
      <c r="AY36" s="170"/>
      <c r="AZ36" s="170"/>
      <c r="BA36" s="170"/>
      <c r="BB36" s="170"/>
      <c r="BC36" s="170"/>
      <c r="BD36" s="170"/>
      <c r="BE36" s="170"/>
      <c r="BF36" s="170"/>
      <c r="BG36" s="170"/>
      <c r="BH36" s="170"/>
      <c r="BI36" s="170"/>
      <c r="BJ36" s="170"/>
      <c r="BK36" s="170"/>
      <c r="BL36" s="170"/>
    </row>
    <row r="37" customFormat="false" ht="12.8" hidden="false" customHeight="false" outlineLevel="0" collapsed="false">
      <c r="A37" s="150" t="n">
        <v>8</v>
      </c>
      <c r="B37" s="151" t="n">
        <v>0.1285</v>
      </c>
      <c r="C37" s="152" t="n">
        <v>3.264</v>
      </c>
      <c r="D37" s="153" t="n">
        <v>0</v>
      </c>
      <c r="E37" s="154" t="n">
        <v>7.78</v>
      </c>
      <c r="F37" s="155" t="n">
        <v>3.06</v>
      </c>
      <c r="G37" s="156" t="n">
        <v>16.5</v>
      </c>
      <c r="H37" s="157" t="n">
        <f aca="false">I37/100</f>
        <v>0.0837</v>
      </c>
      <c r="I37" s="158" t="n">
        <v>8.37</v>
      </c>
      <c r="J37" s="159" t="n">
        <v>2.061</v>
      </c>
      <c r="K37" s="152" t="n">
        <f aca="false">J37*10</f>
        <v>20.61</v>
      </c>
      <c r="L37" s="153" t="n">
        <v>0.6282</v>
      </c>
      <c r="M37" s="160" t="n">
        <v>8</v>
      </c>
    </row>
    <row r="38" customFormat="false" ht="12.8" hidden="false" customHeight="false" outlineLevel="0" collapsed="false">
      <c r="A38" s="161" t="n">
        <v>7</v>
      </c>
      <c r="B38" s="151" t="n">
        <v>0.1443</v>
      </c>
      <c r="C38" s="162" t="n">
        <v>3.665</v>
      </c>
      <c r="D38" s="153" t="n">
        <v>0</v>
      </c>
      <c r="E38" s="163" t="n">
        <v>6.93</v>
      </c>
      <c r="F38" s="155" t="n">
        <v>2.73</v>
      </c>
      <c r="G38" s="164" t="n">
        <v>20.8</v>
      </c>
      <c r="H38" s="157" t="n">
        <f aca="false">I38/100</f>
        <v>0.105</v>
      </c>
      <c r="I38" s="165" t="n">
        <v>10.5</v>
      </c>
      <c r="J38" s="159" t="n">
        <v>1.634</v>
      </c>
      <c r="K38" s="162" t="n">
        <f aca="false">J38*10</f>
        <v>16.34</v>
      </c>
      <c r="L38" s="153" t="n">
        <v>0.4982</v>
      </c>
      <c r="M38" s="166" t="n">
        <v>7</v>
      </c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170"/>
      <c r="BK38" s="170"/>
      <c r="BL38" s="170"/>
    </row>
    <row r="39" customFormat="false" ht="12.8" hidden="false" customHeight="false" outlineLevel="0" collapsed="false">
      <c r="A39" s="150" t="n">
        <v>6</v>
      </c>
      <c r="B39" s="151" t="n">
        <v>0.162</v>
      </c>
      <c r="C39" s="152" t="n">
        <v>4.115</v>
      </c>
      <c r="D39" s="153" t="n">
        <v>0</v>
      </c>
      <c r="E39" s="154" t="n">
        <v>6.17</v>
      </c>
      <c r="F39" s="155" t="n">
        <v>2.43</v>
      </c>
      <c r="G39" s="156" t="n">
        <v>26.3</v>
      </c>
      <c r="H39" s="157" t="n">
        <f aca="false">I39/100</f>
        <v>0.133</v>
      </c>
      <c r="I39" s="158" t="n">
        <v>13.3</v>
      </c>
      <c r="J39" s="159" t="n">
        <v>1.296</v>
      </c>
      <c r="K39" s="152" t="n">
        <f aca="false">J39*10</f>
        <v>12.96</v>
      </c>
      <c r="L39" s="153" t="n">
        <v>0.3951</v>
      </c>
      <c r="M39" s="160" t="n">
        <v>6</v>
      </c>
    </row>
    <row r="40" customFormat="false" ht="12.8" hidden="false" customHeight="false" outlineLevel="0" collapsed="false">
      <c r="A40" s="161" t="n">
        <v>5</v>
      </c>
      <c r="B40" s="151" t="n">
        <v>0.1819</v>
      </c>
      <c r="C40" s="162" t="n">
        <v>4.621</v>
      </c>
      <c r="D40" s="153" t="n">
        <v>0</v>
      </c>
      <c r="E40" s="163" t="n">
        <v>5.5</v>
      </c>
      <c r="F40" s="155" t="n">
        <v>2.16</v>
      </c>
      <c r="G40" s="164" t="n">
        <v>33.1</v>
      </c>
      <c r="H40" s="157" t="n">
        <f aca="false">I40/100</f>
        <v>0.168</v>
      </c>
      <c r="I40" s="165" t="n">
        <v>16.8</v>
      </c>
      <c r="J40" s="159" t="n">
        <v>1.028</v>
      </c>
      <c r="K40" s="162" t="n">
        <f aca="false">J40*10</f>
        <v>10.28</v>
      </c>
      <c r="L40" s="153" t="n">
        <v>0.3133</v>
      </c>
      <c r="M40" s="166" t="n">
        <v>5</v>
      </c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170"/>
      <c r="AM40" s="170"/>
      <c r="AN40" s="170"/>
      <c r="AO40" s="170"/>
      <c r="AP40" s="170"/>
      <c r="AQ40" s="170"/>
      <c r="AR40" s="170"/>
      <c r="AS40" s="170"/>
      <c r="AT40" s="170"/>
      <c r="AU40" s="170"/>
      <c r="AV40" s="170"/>
      <c r="AW40" s="170"/>
      <c r="AX40" s="170"/>
      <c r="AY40" s="170"/>
      <c r="AZ40" s="170"/>
      <c r="BA40" s="170"/>
      <c r="BB40" s="170"/>
      <c r="BC40" s="170"/>
      <c r="BD40" s="170"/>
      <c r="BE40" s="170"/>
      <c r="BF40" s="170"/>
      <c r="BG40" s="170"/>
      <c r="BH40" s="170"/>
      <c r="BI40" s="170"/>
      <c r="BJ40" s="170"/>
      <c r="BK40" s="170"/>
      <c r="BL40" s="170"/>
    </row>
    <row r="41" customFormat="false" ht="12.8" hidden="false" customHeight="false" outlineLevel="0" collapsed="false">
      <c r="A41" s="150" t="n">
        <v>4</v>
      </c>
      <c r="B41" s="151" t="n">
        <v>0.2043</v>
      </c>
      <c r="C41" s="152" t="n">
        <v>5.189</v>
      </c>
      <c r="D41" s="153" t="n">
        <v>0</v>
      </c>
      <c r="E41" s="154" t="n">
        <v>4.89</v>
      </c>
      <c r="F41" s="155" t="n">
        <v>1.93</v>
      </c>
      <c r="G41" s="156" t="n">
        <v>41.7</v>
      </c>
      <c r="H41" s="157" t="n">
        <f aca="false">I41/100</f>
        <v>0.212</v>
      </c>
      <c r="I41" s="158" t="n">
        <v>21.2</v>
      </c>
      <c r="J41" s="159" t="n">
        <v>0.8152</v>
      </c>
      <c r="K41" s="152" t="n">
        <f aca="false">J41*10</f>
        <v>8.152</v>
      </c>
      <c r="L41" s="153" t="n">
        <v>0.2485</v>
      </c>
      <c r="M41" s="160" t="n">
        <v>4</v>
      </c>
    </row>
    <row r="42" customFormat="false" ht="12.8" hidden="false" customHeight="false" outlineLevel="0" collapsed="false">
      <c r="A42" s="161" t="n">
        <v>3</v>
      </c>
      <c r="B42" s="151" t="n">
        <v>0.2294</v>
      </c>
      <c r="C42" s="162" t="n">
        <v>5.827</v>
      </c>
      <c r="D42" s="153" t="n">
        <v>0</v>
      </c>
      <c r="E42" s="163" t="n">
        <v>4.36</v>
      </c>
      <c r="F42" s="155" t="n">
        <v>1.72</v>
      </c>
      <c r="G42" s="164" t="n">
        <v>52.6</v>
      </c>
      <c r="H42" s="157" t="n">
        <f aca="false">I42/100</f>
        <v>0.267</v>
      </c>
      <c r="I42" s="165" t="n">
        <v>26.7</v>
      </c>
      <c r="J42" s="159" t="n">
        <v>0.6465</v>
      </c>
      <c r="K42" s="162" t="n">
        <f aca="false">J42*10</f>
        <v>6.465</v>
      </c>
      <c r="L42" s="153" t="n">
        <v>0.197</v>
      </c>
      <c r="M42" s="166" t="n">
        <v>3</v>
      </c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  <c r="AN42" s="170"/>
      <c r="AO42" s="170"/>
      <c r="AP42" s="170"/>
      <c r="AQ42" s="170"/>
      <c r="AR42" s="170"/>
      <c r="AS42" s="170"/>
      <c r="AT42" s="170"/>
      <c r="AU42" s="170"/>
      <c r="AV42" s="170"/>
      <c r="AW42" s="170"/>
      <c r="AX42" s="170"/>
      <c r="AY42" s="170"/>
      <c r="AZ42" s="170"/>
      <c r="BA42" s="170"/>
      <c r="BB42" s="170"/>
      <c r="BC42" s="170"/>
      <c r="BD42" s="170"/>
      <c r="BE42" s="170"/>
      <c r="BF42" s="170"/>
      <c r="BG42" s="170"/>
      <c r="BH42" s="170"/>
      <c r="BI42" s="170"/>
      <c r="BJ42" s="170"/>
      <c r="BK42" s="170"/>
      <c r="BL42" s="170"/>
    </row>
    <row r="43" customFormat="false" ht="12.8" hidden="false" customHeight="false" outlineLevel="0" collapsed="false">
      <c r="A43" s="150" t="n">
        <v>2</v>
      </c>
      <c r="B43" s="151" t="n">
        <v>0.2576</v>
      </c>
      <c r="C43" s="152" t="n">
        <v>6.544</v>
      </c>
      <c r="D43" s="153" t="n">
        <v>0</v>
      </c>
      <c r="E43" s="154" t="n">
        <v>3.88</v>
      </c>
      <c r="F43" s="155" t="n">
        <v>1.53</v>
      </c>
      <c r="G43" s="156" t="n">
        <v>66.4</v>
      </c>
      <c r="H43" s="157" t="n">
        <f aca="false">I43/100</f>
        <v>0.336</v>
      </c>
      <c r="I43" s="158" t="n">
        <v>33.6</v>
      </c>
      <c r="J43" s="159" t="n">
        <v>0.5127</v>
      </c>
      <c r="K43" s="152" t="n">
        <f aca="false">J43*10</f>
        <v>5.127</v>
      </c>
      <c r="L43" s="153" t="n">
        <v>0.1563</v>
      </c>
      <c r="M43" s="160" t="n">
        <v>2</v>
      </c>
    </row>
    <row r="44" customFormat="false" ht="12.8" hidden="false" customHeight="false" outlineLevel="0" collapsed="false">
      <c r="A44" s="161" t="n">
        <v>1</v>
      </c>
      <c r="B44" s="171" t="n">
        <v>0.2893</v>
      </c>
      <c r="C44" s="172" t="n">
        <v>7.348</v>
      </c>
      <c r="D44" s="173" t="n">
        <v>0</v>
      </c>
      <c r="E44" s="174" t="n">
        <v>3.46</v>
      </c>
      <c r="F44" s="175" t="n">
        <v>1.36</v>
      </c>
      <c r="G44" s="176" t="n">
        <v>83.7</v>
      </c>
      <c r="H44" s="177" t="n">
        <f aca="false">I44/100</f>
        <v>0.424</v>
      </c>
      <c r="I44" s="178" t="n">
        <v>42.4</v>
      </c>
      <c r="J44" s="179" t="n">
        <v>0.4066</v>
      </c>
      <c r="K44" s="172" t="n">
        <f aca="false">J44*10</f>
        <v>4.066</v>
      </c>
      <c r="L44" s="173" t="n">
        <v>0.1239</v>
      </c>
      <c r="M44" s="180" t="n">
        <v>1</v>
      </c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170"/>
      <c r="AK44" s="170"/>
      <c r="AL44" s="170"/>
      <c r="AM44" s="170"/>
      <c r="AN44" s="170"/>
      <c r="AO44" s="170"/>
      <c r="AP44" s="170"/>
      <c r="AQ44" s="170"/>
      <c r="AR44" s="170"/>
      <c r="AS44" s="170"/>
      <c r="AT44" s="170"/>
      <c r="AU44" s="170"/>
      <c r="AV44" s="170"/>
      <c r="AW44" s="170"/>
      <c r="AX44" s="170"/>
      <c r="AY44" s="170"/>
      <c r="AZ44" s="170"/>
      <c r="BA44" s="170"/>
      <c r="BB44" s="170"/>
      <c r="BC44" s="170"/>
      <c r="BD44" s="170"/>
      <c r="BE44" s="170"/>
      <c r="BF44" s="170"/>
      <c r="BG44" s="170"/>
      <c r="BH44" s="170"/>
      <c r="BI44" s="170"/>
      <c r="BJ44" s="170"/>
      <c r="BK44" s="170"/>
      <c r="BL44" s="170"/>
    </row>
  </sheetData>
  <mergeCells count="17">
    <mergeCell ref="A1:A4"/>
    <mergeCell ref="B1:D2"/>
    <mergeCell ref="E1:F2"/>
    <mergeCell ref="G1:I2"/>
    <mergeCell ref="J1:L2"/>
    <mergeCell ref="M1:M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hyperlinks>
    <hyperlink ref="D3" r:id="rId2" display="With Insul&#10;(mm)"/>
    <hyperlink ref="G3" r:id="rId3" display="(kcmil)"/>
  </hyperlinks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5857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2020-09-30T14:01:00Z</dcterms:created>
  <dc:creator/>
  <dc:description/>
  <dc:language>en-US</dc:language>
  <cp:lastModifiedBy/>
  <dcterms:modified xsi:type="dcterms:W3CDTF">2022-11-04T11:01:59Z</dcterms:modified>
  <cp:revision>110</cp:revision>
  <dc:subject/>
  <dc:title/>
</cp:coreProperties>
</file>