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4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uncomp" sheetId="1" state="visible" r:id="rId2"/>
    <sheet name="comp" sheetId="2" state="visible" r:id="rId3"/>
    <sheet name="pic16f18326" sheetId="3" state="visible" r:id="rId4"/>
    <sheet name="bom" sheetId="4" state="visible" r:id="rId5"/>
    <sheet name="baro" sheetId="5" state="visible" r:id="rId6"/>
  </sheets>
  <definedNames>
    <definedName function="false" hidden="true" localSheetId="3" name="_xlnm._FilterDatabase" vbProcedure="false">bom!$A$1:$I$95</definedName>
    <definedName function="false" hidden="false" localSheetId="3" name="timer_2_0_161105" vbProcedure="false">bom!$C$1:$J$73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<sst xmlns="http://schemas.openxmlformats.org/spreadsheetml/2006/main" count="426" uniqueCount="274">
  <si>
    <t xml:space="preserve">Calibration Constants</t>
  </si>
  <si>
    <t xml:space="preserve">1” Hg</t>
  </si>
  <si>
    <t xml:space="preserve">33.8639mb</t>
  </si>
  <si>
    <t xml:space="preserve">Variable</t>
  </si>
  <si>
    <t xml:space="preserve">Equation</t>
  </si>
  <si>
    <t xml:space="preserve">Description</t>
  </si>
  <si>
    <t xml:space="preserve">Hex</t>
  </si>
  <si>
    <t xml:space="preserve">Decimal</t>
  </si>
  <si>
    <t xml:space="preserve">OEM</t>
  </si>
  <si>
    <t xml:space="preserve">OEM reserved</t>
  </si>
  <si>
    <t xml:space="preserve">C1</t>
  </si>
  <si>
    <t xml:space="preserve">SENS</t>
  </si>
  <si>
    <t xml:space="preserve">Pressure sensitivity</t>
  </si>
  <si>
    <t xml:space="preserve">C2</t>
  </si>
  <si>
    <t xml:space="preserve">OFF</t>
  </si>
  <si>
    <t xml:space="preserve">Pressure offset</t>
  </si>
  <si>
    <t xml:space="preserve">C3</t>
  </si>
  <si>
    <t xml:space="preserve">TCS</t>
  </si>
  <si>
    <t xml:space="preserve">Temp coeff of pressure sensitivity</t>
  </si>
  <si>
    <t xml:space="preserve">C4</t>
  </si>
  <si>
    <t xml:space="preserve">TCO</t>
  </si>
  <si>
    <t xml:space="preserve">Temp coeff of pressure offset</t>
  </si>
  <si>
    <t xml:space="preserve">C5</t>
  </si>
  <si>
    <t xml:space="preserve">Tref</t>
  </si>
  <si>
    <t xml:space="preserve">Reference temperature</t>
  </si>
  <si>
    <t xml:space="preserve">C6</t>
  </si>
  <si>
    <t xml:space="preserve">TEMPSENS</t>
  </si>
  <si>
    <t xml:space="preserve">Temp coeff of temperature</t>
  </si>
  <si>
    <t xml:space="preserve">CRC</t>
  </si>
  <si>
    <t xml:space="preserve">Cyclical redundancy check</t>
  </si>
  <si>
    <t xml:space="preserve">D1</t>
  </si>
  <si>
    <t xml:space="preserve">Digital pressure value</t>
  </si>
  <si>
    <t xml:space="preserve">5D37E0</t>
  </si>
  <si>
    <t xml:space="preserve">D2</t>
  </si>
  <si>
    <t xml:space="preserve">Digital temperature value</t>
  </si>
  <si>
    <t xml:space="preserve">8137E0</t>
  </si>
  <si>
    <t xml:space="preserve">dT</t>
  </si>
  <si>
    <t xml:space="preserve">Delta actual &amp; ref. Temp</t>
  </si>
  <si>
    <t xml:space="preserve">TEMP</t>
  </si>
  <si>
    <t xml:space="preserve">Actual temperature</t>
  </si>
  <si>
    <t xml:space="preserve">Offset @ actual temp</t>
  </si>
  <si>
    <t xml:space="preserve">Sensitivity @ actual temp</t>
  </si>
  <si>
    <t xml:space="preserve">Pmbar</t>
  </si>
  <si>
    <t xml:space="preserve">Temp compensated pressure</t>
  </si>
  <si>
    <t xml:space="preserve">Hg_nstd</t>
  </si>
  <si>
    <t xml:space="preserve">Local adjusted Hg</t>
  </si>
  <si>
    <t xml:space="preserve">Hg_diff</t>
  </si>
  <si>
    <t xml:space="preserve">Hg difference from standard</t>
  </si>
  <si>
    <t xml:space="preserve">Pcomp</t>
  </si>
  <si>
    <t xml:space="preserve">Pressure comp. For Hg diff</t>
  </si>
  <si>
    <t xml:space="preserve">ALT</t>
  </si>
  <si>
    <t xml:space="preserve">Pressure adjusted altitude</t>
  </si>
  <si>
    <t xml:space="preserve">Actual temperature: C | F</t>
  </si>
  <si>
    <t xml:space="preserve">SCALE</t>
  </si>
  <si>
    <t xml:space="preserve">Integer scale factor</t>
  </si>
  <si>
    <t xml:space="preserve">M</t>
  </si>
  <si>
    <t xml:space="preserve">E</t>
  </si>
  <si>
    <t xml:space="preserve">MBHG</t>
  </si>
  <si>
    <t xml:space="preserve">mbar per inch Hg: decimal | scale</t>
  </si>
  <si>
    <t xml:space="preserve">Pressure</t>
  </si>
  <si>
    <t xml:space="preserve">MBM</t>
  </si>
  <si>
    <t xml:space="preserve">mbar per meter: decimal | scale</t>
  </si>
  <si>
    <t xml:space="preserve">Altitude</t>
  </si>
  <si>
    <t xml:space="preserve">STDM</t>
  </si>
  <si>
    <t xml:space="preserve">Standard atmosphere mbar</t>
  </si>
  <si>
    <t xml:space="preserve">Baro Setting</t>
  </si>
  <si>
    <t xml:space="preserve">Standard atmosphere Hg</t>
  </si>
  <si>
    <t xml:space="preserve">BAROHE</t>
  </si>
  <si>
    <t xml:space="preserve">Local baro setting, Hg, entered</t>
  </si>
  <si>
    <t xml:space="preserve">BAROM</t>
  </si>
  <si>
    <t xml:space="preserve">Local baro setting, mbar</t>
  </si>
  <si>
    <t xml:space="preserve">BAROHC</t>
  </si>
  <si>
    <t xml:space="preserve">Local baro setting, Hg, calculated</t>
  </si>
  <si>
    <t xml:space="preserve">P</t>
  </si>
  <si>
    <t xml:space="preserve">Pressure: mbar | Hg</t>
  </si>
  <si>
    <t xml:space="preserve">T2</t>
  </si>
  <si>
    <t xml:space="preserve">Temp&lt;20C</t>
  </si>
  <si>
    <t xml:space="preserve">OFF2</t>
  </si>
  <si>
    <t xml:space="preserve">SENS2</t>
  </si>
  <si>
    <t xml:space="preserve">Temp←15C</t>
  </si>
  <si>
    <t xml:space="preserve">Pin Map</t>
  </si>
  <si>
    <t xml:space="preserve">Pin Assignments</t>
  </si>
  <si>
    <t xml:space="preserve">Pin</t>
  </si>
  <si>
    <t xml:space="preserve">Port</t>
  </si>
  <si>
    <t xml:space="preserve">Channel</t>
  </si>
  <si>
    <t xml:space="preserve">1=in,0=out</t>
  </si>
  <si>
    <t xml:space="preserve">1=A,0=D</t>
  </si>
  <si>
    <t xml:space="preserve">Peripheral/Pin</t>
  </si>
  <si>
    <t xml:space="preserve">Fct. / Net Name</t>
  </si>
  <si>
    <t xml:space="preserve">Notes</t>
  </si>
  <si>
    <t xml:space="preserve">VDD</t>
  </si>
  <si>
    <t xml:space="preserve">-</t>
  </si>
  <si>
    <t xml:space="preserve">Vdd</t>
  </si>
  <si>
    <t xml:space="preserve">RA5</t>
  </si>
  <si>
    <t xml:space="preserve">ANA5</t>
  </si>
  <si>
    <t xml:space="preserve">IOCAF5</t>
  </si>
  <si>
    <t xml:space="preserve">UP</t>
  </si>
  <si>
    <t xml:space="preserve">Up button detection: IOCAP5 &amp; IOCAN5 enabled.</t>
  </si>
  <si>
    <t xml:space="preserve">RA4</t>
  </si>
  <si>
    <t xml:space="preserve">ANA4</t>
  </si>
  <si>
    <t xml:space="preserve">CHGP_E</t>
  </si>
  <si>
    <t xml:space="preserve">Charge pump &amp; LDO enable.</t>
  </si>
  <si>
    <t xml:space="preserve">RA3</t>
  </si>
  <si>
    <t xml:space="preserve">IOCAF3</t>
  </si>
  <si>
    <t xml:space="preserve">DOWN</t>
  </si>
  <si>
    <t xml:space="preserve">Down button detection: IOCAP3 &amp; IOCAN3 enabled. Vpp.</t>
  </si>
  <si>
    <t xml:space="preserve">RC5</t>
  </si>
  <si>
    <t xml:space="preserve">ANC5</t>
  </si>
  <si>
    <t xml:space="preserve">LCD_BL</t>
  </si>
  <si>
    <t xml:space="preserve">LCD back light power.</t>
  </si>
  <si>
    <t xml:space="preserve">RC4</t>
  </si>
  <si>
    <t xml:space="preserve">ANC4</t>
  </si>
  <si>
    <t xml:space="preserve">LCD_CS</t>
  </si>
  <si>
    <t xml:space="preserve">LCD chip select for SPI.</t>
  </si>
  <si>
    <t xml:space="preserve">RC3</t>
  </si>
  <si>
    <t xml:space="preserve">ANC3</t>
  </si>
  <si>
    <t xml:space="preserve">MS5607_CS</t>
  </si>
  <si>
    <t xml:space="preserve">MS5607 chip select for SPI.</t>
  </si>
  <si>
    <t xml:space="preserve">RC2</t>
  </si>
  <si>
    <t xml:space="preserve">ANC2</t>
  </si>
  <si>
    <t xml:space="preserve">MSSP</t>
  </si>
  <si>
    <t xml:space="preserve">SDO</t>
  </si>
  <si>
    <t xml:space="preserve">SPI data out.</t>
  </si>
  <si>
    <t xml:space="preserve">RC1</t>
  </si>
  <si>
    <t xml:space="preserve">ANC1</t>
  </si>
  <si>
    <t xml:space="preserve">SDI</t>
  </si>
  <si>
    <t xml:space="preserve">SPI data in.</t>
  </si>
  <si>
    <t xml:space="preserve">RC0</t>
  </si>
  <si>
    <t xml:space="preserve">ANC0</t>
  </si>
  <si>
    <t xml:space="preserve">CLK</t>
  </si>
  <si>
    <t xml:space="preserve">SPI clock.</t>
  </si>
  <si>
    <t xml:space="preserve">RA2</t>
  </si>
  <si>
    <t xml:space="preserve">ANA2</t>
  </si>
  <si>
    <t xml:space="preserve">LCD_DATA</t>
  </si>
  <si>
    <t xml:space="preserve">LCD data/instruction control.</t>
  </si>
  <si>
    <t xml:space="preserve">RA1</t>
  </si>
  <si>
    <t xml:space="preserve">ANA1</t>
  </si>
  <si>
    <t xml:space="preserve">ICSPCLK</t>
  </si>
  <si>
    <t xml:space="preserve">NC</t>
  </si>
  <si>
    <t xml:space="preserve">ICSP clock.</t>
  </si>
  <si>
    <t xml:space="preserve">RA0</t>
  </si>
  <si>
    <t xml:space="preserve">ANA0</t>
  </si>
  <si>
    <t xml:space="preserve">ICSPDAT</t>
  </si>
  <si>
    <t xml:space="preserve">PWR</t>
  </si>
  <si>
    <t xml:space="preserve">LCD &amp; Baro sensor power. ICSP data.</t>
  </si>
  <si>
    <t xml:space="preserve">VSS</t>
  </si>
  <si>
    <t xml:space="preserve">Vss</t>
  </si>
  <si>
    <t xml:space="preserve">Section / Sheet</t>
  </si>
  <si>
    <t xml:space="preserve">Reference</t>
  </si>
  <si>
    <t xml:space="preserve">Qty</t>
  </si>
  <si>
    <t xml:space="preserve">Ord?</t>
  </si>
  <si>
    <t xml:space="preserve">Value</t>
  </si>
  <si>
    <t xml:space="preserve">Package</t>
  </si>
  <si>
    <t xml:space="preserve">Vendor</t>
  </si>
  <si>
    <t xml:space="preserve">Part #</t>
  </si>
  <si>
    <t xml:space="preserve">Balt-210120.sch</t>
  </si>
  <si>
    <t xml:space="preserve">SW1,SW2</t>
  </si>
  <si>
    <t xml:space="preserve">Y</t>
  </si>
  <si>
    <t xml:space="preserve">TL1105SPF160Q1RBLK</t>
  </si>
  <si>
    <t xml:space="preserve">Thru-Hole</t>
  </si>
  <si>
    <t xml:space="preserve">Digikey</t>
  </si>
  <si>
    <t xml:space="preserve">EG6012-ND</t>
  </si>
  <si>
    <t xml:space="preserve">Tactile Switch SPST-NO Top Actuated Through Hole</t>
  </si>
  <si>
    <t xml:space="preserve">BT1</t>
  </si>
  <si>
    <t xml:space="preserve">BU2032SM-HD-G</t>
  </si>
  <si>
    <t xml:space="preserve">SMD</t>
  </si>
  <si>
    <t xml:space="preserve">BU2032SM-HD-GCT-ND</t>
  </si>
  <si>
    <t xml:space="preserve">Battery Holder (Open) Coin, 20.0mm 1 Cell SMD (SMT) Tab</t>
  </si>
  <si>
    <t xml:space="preserve">U2</t>
  </si>
  <si>
    <t xml:space="preserve">N</t>
  </si>
  <si>
    <t xml:space="preserve">EA DOGM081W-A</t>
  </si>
  <si>
    <t xml:space="preserve">1481-1063-ND</t>
  </si>
  <si>
    <t xml:space="preserve">Character LCD Display Module Transflective 5 x 8 Dots FSTN - Film Super-Twisted Nematic Without Backlight Parallel, 8-Bit, SPI 55.00mm x 27.94mm x 2.00mm</t>
  </si>
  <si>
    <t xml:space="preserve">EA LED55X31-B</t>
  </si>
  <si>
    <t xml:space="preserve">1481-1154-ND</t>
  </si>
  <si>
    <t xml:space="preserve">LED B/L FOR DOG-M BLUE</t>
  </si>
  <si>
    <t xml:space="preserve">U1</t>
  </si>
  <si>
    <t xml:space="preserve">MS560702BA03-50</t>
  </si>
  <si>
    <t xml:space="preserve">8-SMD</t>
  </si>
  <si>
    <t xml:space="preserve">223-1198-1-ND</t>
  </si>
  <si>
    <t xml:space="preserve">Pressure Sensor 0.15PSI ~ 17.4PSI (1kPa ~ 120kPa) Absolute  24 b 8-SMD</t>
  </si>
  <si>
    <t xml:space="preserve">U4</t>
  </si>
  <si>
    <t xml:space="preserve">PIC16LF18326T-I/SL</t>
  </si>
  <si>
    <t xml:space="preserve">14-SOIC</t>
  </si>
  <si>
    <t xml:space="preserve">PIC16LF18326T-I/SLCT-ND</t>
  </si>
  <si>
    <t xml:space="preserve">PIC PIC® XLP™ 16F Microcontroller IC 8-Bit 32MHz 28KB (16K x 14) FLASH 14-SOIC</t>
  </si>
  <si>
    <t xml:space="preserve">C9</t>
  </si>
  <si>
    <t xml:space="preserve">2.2uF</t>
  </si>
  <si>
    <t xml:space="preserve">805</t>
  </si>
  <si>
    <t xml:space="preserve">445-172477-1-ND</t>
  </si>
  <si>
    <t xml:space="preserve">2.2µF ±10% 50V Ceramic Capacitor X7R 0805 (2012 Metric)</t>
  </si>
  <si>
    <t xml:space="preserve">C1,C3,C4,C5,C6,C10</t>
  </si>
  <si>
    <t xml:space="preserve">100nF</t>
  </si>
  <si>
    <t xml:space="preserve">1276-1090-1-ND</t>
  </si>
  <si>
    <t xml:space="preserve">0.1µF ±5% 50V Ceramic Capacitor X7R 0805 (2012 Metric) </t>
  </si>
  <si>
    <t xml:space="preserve">C2,C8</t>
  </si>
  <si>
    <t xml:space="preserve">1uF</t>
  </si>
  <si>
    <t xml:space="preserve">311-1886-1-ND</t>
  </si>
  <si>
    <t xml:space="preserve">1µF ±10% 50V Ceramic Capacitor X7R 0805 (2012 Metric)</t>
  </si>
  <si>
    <t xml:space="preserve">C7,C11</t>
  </si>
  <si>
    <t xml:space="preserve">10uF</t>
  </si>
  <si>
    <t xml:space="preserve">1210</t>
  </si>
  <si>
    <t xml:space="preserve">445-8914-1-ND</t>
  </si>
  <si>
    <t xml:space="preserve">10µF ±10% 50V Ceramic Capacitor X7S 1210 (3225 Metric)</t>
  </si>
  <si>
    <t xml:space="preserve">R1,R2</t>
  </si>
  <si>
    <t xml:space="preserve">10K</t>
  </si>
  <si>
    <t xml:space="preserve">P10.0KCCT-ND</t>
  </si>
  <si>
    <t xml:space="preserve">RES SMD 10K OHM 1% 1/8W 0805</t>
  </si>
  <si>
    <t xml:space="preserve">R3,R4</t>
  </si>
  <si>
    <t xml:space="preserve">1K</t>
  </si>
  <si>
    <t xml:space="preserve">P1.00KCCT-ND</t>
  </si>
  <si>
    <t xml:space="preserve">RES SMD 1K OHM 1% 1/8W 0805</t>
  </si>
  <si>
    <t xml:space="preserve">R5</t>
  </si>
  <si>
    <t xml:space="preserve">P47.0CCT-ND</t>
  </si>
  <si>
    <t xml:space="preserve">47 Ohms ±1% 0.125W, 1/8W Chip Resistor 0805 (2012 Metric) Automotive AEC-Q200 Thick Film</t>
  </si>
  <si>
    <t xml:space="preserve">R6</t>
  </si>
  <si>
    <t xml:space="preserve">27K</t>
  </si>
  <si>
    <t xml:space="preserve">P27.0KCCT-ND</t>
  </si>
  <si>
    <t xml:space="preserve">27 kOhms ±1% 0.125W, 1/8W Chip Resistor 0805 (2012 Metric) Automotive AEC-Q200 Thick Film</t>
  </si>
  <si>
    <t xml:space="preserve">R7</t>
  </si>
  <si>
    <t xml:space="preserve">39K</t>
  </si>
  <si>
    <t xml:space="preserve">P39.0KCCT-ND</t>
  </si>
  <si>
    <t xml:space="preserve">39 kOhms ±1% 0.125W, 1/8W Chip Resistor 0805 (2012 Metric) Automotive AEC-Q200 Thick Film</t>
  </si>
  <si>
    <t xml:space="preserve">U3</t>
  </si>
  <si>
    <t xml:space="preserve">LM2766M6X/NOPB</t>
  </si>
  <si>
    <t xml:space="preserve">SOT-23-6</t>
  </si>
  <si>
    <t xml:space="preserve">LM2766M6X/NOPBCT-ND</t>
  </si>
  <si>
    <t xml:space="preserve">Charge Pump Switching Regulator IC Positive Fixed 2Vin 1 Output 20mA SOT-23-6</t>
  </si>
  <si>
    <t xml:space="preserve">U5</t>
  </si>
  <si>
    <t xml:space="preserve">NCP508SQ33T1G</t>
  </si>
  <si>
    <t xml:space="preserve">SOT-353</t>
  </si>
  <si>
    <t xml:space="preserve">NCP508SQ33T1GOSCT-ND</t>
  </si>
  <si>
    <t xml:space="preserve">Linear Voltage Regulator IC  1 Output  50mA SC-88A (SC-70-5/SOT-353)</t>
  </si>
  <si>
    <t xml:space="preserve">D1,D2</t>
  </si>
  <si>
    <t xml:space="preserve">MBR120VLSFT3G</t>
  </si>
  <si>
    <t xml:space="preserve">SOD-123FL</t>
  </si>
  <si>
    <t xml:space="preserve">MBR120VLSFT3GOSCT-ND</t>
  </si>
  <si>
    <t xml:space="preserve">Diode Schottky 20V 1A Surface Mount SOD-123FL</t>
  </si>
  <si>
    <t xml:space="preserve">CR2032</t>
  </si>
  <si>
    <t xml:space="preserve">N/A</t>
  </si>
  <si>
    <t xml:space="preserve">CR2032, 3V lithium coin cell</t>
  </si>
  <si>
    <t xml:space="preserve">KT-45C</t>
  </si>
  <si>
    <t xml:space="preserve">Polycase</t>
  </si>
  <si>
    <t xml:space="preserve">KT-45T0</t>
  </si>
  <si>
    <t xml:space="preserve">Handheld Electronics Enclosure, Cover Style Recessed/ Textured</t>
  </si>
  <si>
    <t xml:space="preserve">P_mbar</t>
  </si>
  <si>
    <t xml:space="preserve">P_Hg</t>
  </si>
  <si>
    <t xml:space="preserve">A_m</t>
  </si>
  <si>
    <t xml:space="preserve">delta_A_m</t>
  </si>
  <si>
    <t xml:space="preserve">m/mbar</t>
  </si>
  <si>
    <t xml:space="preserve">m/mbar_avg</t>
  </si>
  <si>
    <t xml:space="preserve">A_avg_m</t>
  </si>
  <si>
    <t xml:space="preserve">A_f</t>
  </si>
  <si>
    <t xml:space="preserve">delta_A_f</t>
  </si>
  <si>
    <t xml:space="preserve">A_avg_f</t>
  </si>
  <si>
    <t xml:space="preserve">Baro Adjust-&gt;Altitude</t>
  </si>
  <si>
    <t xml:space="preserve">P_mbar/10</t>
  </si>
  <si>
    <t xml:space="preserve">A_m/100</t>
  </si>
  <si>
    <t xml:space="preserve">MSL_mbar (S)</t>
  </si>
  <si>
    <t xml:space="preserve">Read pres (P)</t>
  </si>
  <si>
    <t xml:space="preserve">inc_mbar</t>
  </si>
  <si>
    <t xml:space="preserve">Baro adjust (B)</t>
  </si>
  <si>
    <t xml:space="preserve">Std-Baro adjust (D)</t>
  </si>
  <si>
    <t xml:space="preserve">Baro adj read pres (P_a)</t>
  </si>
  <si>
    <t xml:space="preserve">Std-baro adj pres (S-P_a)</t>
  </si>
  <si>
    <t xml:space="preserve">Alt_m</t>
  </si>
  <si>
    <t xml:space="preserve">Alt_f</t>
  </si>
  <si>
    <t xml:space="preserve">Altitude-&gt;Baro Adjust*</t>
  </si>
  <si>
    <t xml:space="preserve">User alt. (A_u)</t>
  </si>
  <si>
    <t xml:space="preserve">Pressure alt. (A_p)**</t>
  </si>
  <si>
    <t xml:space="preserve">A_u-A_p (A_d)</t>
  </si>
  <si>
    <t xml:space="preserve">A_d-m/mbar_avg (mbar_a)</t>
  </si>
  <si>
    <t xml:space="preserve">MSL_mbar+mbar_a (B)</t>
  </si>
  <si>
    <t xml:space="preserve">*Altitude-&gt;baro adjust can be off by 3+ mbar due to the coarse resolution of the table and backwards solve.
**If A_p&lt;0, set=0.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</si>
</sst>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General"/>
    <numFmt numFmtId="166" formatCode="#,##0"/>
    <numFmt numFmtId="167" formatCode="@"/>
    <numFmt numFmtId="168" formatCode="0.00"/>
    <numFmt numFmtId="169" formatCode="0.0000"/>
    <numFmt numFmtId="170" formatCode="#,###.00"/>
    <numFmt numFmtId="171" formatCode="0"/>
    <numFmt numFmtId="172" formatCode="0.000"/>
    <numFmt numFmtId="173" formatCode="#,##0.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0"/>
      <color rgb="FF00000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72BF44"/>
        <bgColor rgb="FF969696"/>
      </patternFill>
    </fill>
    <fill>
      <patternFill patternType="solid">
        <fgColor rgb="FFCCCCCC"/>
        <bgColor rgb="FFDDDDDD"/>
      </patternFill>
    </fill>
    <fill>
      <patternFill patternType="solid">
        <fgColor rgb="FFDDDDDD"/>
        <bgColor rgb="FFCCCCCC"/>
      </patternFill>
    </fill>
    <fill>
      <patternFill patternType="solid">
        <fgColor rgb="FFFFFF00"/>
        <bgColor rgb="FFFFF200"/>
      </patternFill>
    </fill>
    <fill>
      <patternFill patternType="solid">
        <fgColor rgb="FFFF5429"/>
        <bgColor rgb="FFFF8080"/>
      </patternFill>
    </fill>
    <fill>
      <patternFill patternType="solid">
        <fgColor rgb="FF729FCF"/>
        <bgColor rgb="FF969696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4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7" fontId="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5" fillId="6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7" fontId="5" fillId="6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4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3" fontId="0" fillId="4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4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2BF44"/>
      <rgbColor rgb="FFFFCC00"/>
      <rgbColor rgb="FFFF9900"/>
      <rgbColor rgb="FFFF5429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8.52"/>
    <col collapsed="false" customWidth="true" hidden="false" outlineLevel="0" max="3" min="3" style="0" width="29.72"/>
    <col collapsed="false" customWidth="true" hidden="false" outlineLevel="0" max="4" min="4" style="0" width="7.95"/>
    <col collapsed="false" customWidth="true" hidden="false" outlineLevel="0" max="5" min="5" style="0" width="14.77"/>
    <col collapsed="false" customWidth="true" hidden="false" outlineLevel="0" max="6" min="6" style="0" width="6.01"/>
    <col collapsed="false" customWidth="true" hidden="false" outlineLevel="0" max="8" min="8" style="0" width="10.46"/>
    <col collapsed="false" customWidth="true" hidden="false" outlineLevel="0" max="9" min="9" style="0" width="7.41"/>
    <col collapsed="false" customWidth="true" hidden="false" outlineLevel="0" max="10" min="10" style="0" width="9.35"/>
  </cols>
  <sheetData>
    <row r="1" customFormat="false" ht="12.8" hidden="false" customHeight="false" outlineLevel="0" collapsed="false">
      <c r="A1" s="1" t="s">
        <v>0</v>
      </c>
      <c r="B1" s="1"/>
      <c r="C1" s="1"/>
      <c r="D1" s="1"/>
      <c r="E1" s="1"/>
      <c r="F1" s="1"/>
      <c r="G1" s="0" t="s">
        <v>1</v>
      </c>
      <c r="H1" s="0" t="s">
        <v>2</v>
      </c>
      <c r="I1" s="0" t="n">
        <v>0.111</v>
      </c>
    </row>
    <row r="2" customFormat="false" ht="12.8" hidden="false" customHeight="false" outlineLevel="0" collapsed="false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3"/>
    </row>
    <row r="3" customFormat="false" ht="12.8" hidden="false" customHeight="false" outlineLevel="0" collapsed="false">
      <c r="A3" s="0" t="s">
        <v>8</v>
      </c>
      <c r="C3" s="0" t="s">
        <v>9</v>
      </c>
      <c r="D3" s="4" t="str">
        <f aca="false">DEC2HEX(E3)</f>
        <v>28</v>
      </c>
      <c r="E3" s="5" t="n">
        <v>40</v>
      </c>
      <c r="F3" s="3"/>
    </row>
    <row r="4" customFormat="false" ht="12.8" hidden="false" customHeight="false" outlineLevel="0" collapsed="false">
      <c r="A4" s="0" t="s">
        <v>10</v>
      </c>
      <c r="B4" s="0" t="s">
        <v>11</v>
      </c>
      <c r="C4" s="0" t="s">
        <v>12</v>
      </c>
      <c r="D4" s="4" t="str">
        <f aca="false">DEC2HEX(E4)</f>
        <v>A582</v>
      </c>
      <c r="E4" s="5" t="n">
        <v>42370</v>
      </c>
    </row>
    <row r="5" customFormat="false" ht="12.8" hidden="false" customHeight="false" outlineLevel="0" collapsed="false">
      <c r="A5" s="0" t="s">
        <v>13</v>
      </c>
      <c r="B5" s="0" t="s">
        <v>14</v>
      </c>
      <c r="C5" s="0" t="s">
        <v>15</v>
      </c>
      <c r="D5" s="4" t="str">
        <f aca="false">DEC2HEX(E5)</f>
        <v>A18D</v>
      </c>
      <c r="E5" s="5" t="n">
        <v>41357</v>
      </c>
    </row>
    <row r="6" customFormat="false" ht="12.8" hidden="false" customHeight="false" outlineLevel="0" collapsed="false">
      <c r="A6" s="0" t="s">
        <v>16</v>
      </c>
      <c r="B6" s="0" t="s">
        <v>17</v>
      </c>
      <c r="C6" s="0" t="s">
        <v>18</v>
      </c>
      <c r="D6" s="4" t="str">
        <f aca="false">DEC2HEX(E6)</f>
        <v>68EE</v>
      </c>
      <c r="E6" s="5" t="n">
        <v>26862</v>
      </c>
    </row>
    <row r="7" customFormat="false" ht="12.8" hidden="false" customHeight="false" outlineLevel="0" collapsed="false">
      <c r="A7" s="0" t="s">
        <v>19</v>
      </c>
      <c r="B7" s="0" t="s">
        <v>20</v>
      </c>
      <c r="C7" s="0" t="s">
        <v>21</v>
      </c>
      <c r="D7" s="4" t="str">
        <f aca="false">DEC2HEX(E7)</f>
        <v>65C9</v>
      </c>
      <c r="E7" s="5" t="n">
        <v>26057</v>
      </c>
    </row>
    <row r="8" customFormat="false" ht="12.8" hidden="false" customHeight="false" outlineLevel="0" collapsed="false">
      <c r="A8" s="0" t="s">
        <v>22</v>
      </c>
      <c r="B8" s="0" t="s">
        <v>23</v>
      </c>
      <c r="C8" s="0" t="s">
        <v>24</v>
      </c>
      <c r="D8" s="4" t="str">
        <f aca="false">DEC2HEX(E8)</f>
        <v>7ED8</v>
      </c>
      <c r="E8" s="5" t="n">
        <v>32472</v>
      </c>
    </row>
    <row r="9" customFormat="false" ht="12.8" hidden="false" customHeight="false" outlineLevel="0" collapsed="false">
      <c r="A9" s="0" t="s">
        <v>25</v>
      </c>
      <c r="B9" s="0" t="s">
        <v>26</v>
      </c>
      <c r="C9" s="0" t="s">
        <v>27</v>
      </c>
      <c r="D9" s="4" t="str">
        <f aca="false">DEC2HEX(E9)</f>
        <v>6C42</v>
      </c>
      <c r="E9" s="5" t="n">
        <v>27714</v>
      </c>
    </row>
    <row r="10" customFormat="false" ht="12.8" hidden="false" customHeight="false" outlineLevel="0" collapsed="false">
      <c r="B10" s="0" t="s">
        <v>28</v>
      </c>
      <c r="C10" s="0" t="s">
        <v>29</v>
      </c>
      <c r="D10" s="4" t="str">
        <f aca="false">DEC2HEX(E10)</f>
        <v>521D</v>
      </c>
      <c r="E10" s="5" t="n">
        <v>21021</v>
      </c>
    </row>
    <row r="12" customFormat="false" ht="12.8" hidden="false" customHeight="false" outlineLevel="0" collapsed="false">
      <c r="A12" s="0" t="s">
        <v>30</v>
      </c>
      <c r="C12" s="0" t="s">
        <v>31</v>
      </c>
      <c r="D12" s="6" t="s">
        <v>32</v>
      </c>
      <c r="E12" s="7" t="n">
        <v>6123352</v>
      </c>
    </row>
    <row r="13" customFormat="false" ht="12.8" hidden="false" customHeight="false" outlineLevel="0" collapsed="false">
      <c r="A13" s="0" t="s">
        <v>33</v>
      </c>
      <c r="C13" s="0" t="s">
        <v>34</v>
      </c>
      <c r="D13" s="6" t="s">
        <v>35</v>
      </c>
      <c r="E13" s="7" t="n">
        <v>8503928</v>
      </c>
    </row>
    <row r="15" customFormat="false" ht="12.8" hidden="false" customHeight="false" outlineLevel="0" collapsed="false">
      <c r="A15" s="0" t="s">
        <v>36</v>
      </c>
      <c r="C15" s="0" t="s">
        <v>37</v>
      </c>
      <c r="E15" s="8" t="n">
        <f aca="false">E13-E8*POWER(2,8)</f>
        <v>191096</v>
      </c>
    </row>
    <row r="16" customFormat="false" ht="12.8" hidden="false" customHeight="false" outlineLevel="0" collapsed="false">
      <c r="A16" s="0" t="s">
        <v>38</v>
      </c>
      <c r="C16" s="0" t="s">
        <v>39</v>
      </c>
      <c r="E16" s="9" t="n">
        <f aca="false">ROUND((2000+E15*(E9/POWER(2,23))),0)/100</f>
        <v>26.31</v>
      </c>
    </row>
    <row r="17" customFormat="false" ht="12.8" hidden="false" customHeight="false" outlineLevel="0" collapsed="false">
      <c r="K17" s="10"/>
    </row>
    <row r="18" customFormat="false" ht="12.8" hidden="false" customHeight="false" outlineLevel="0" collapsed="false">
      <c r="A18" s="0" t="s">
        <v>14</v>
      </c>
      <c r="C18" s="0" t="s">
        <v>40</v>
      </c>
      <c r="E18" s="8" t="n">
        <f aca="false">E5*POWER(2,17)+(E7*E15)/POWER(2,6)</f>
        <v>5498547648.875</v>
      </c>
      <c r="G18" s="11" t="n">
        <f aca="false">ROUNDDOWN(E5/10,0)</f>
        <v>4135</v>
      </c>
      <c r="H18" s="0" t="n">
        <f aca="false">ROUNDDOWN(POWER(2,17)/10,0)</f>
        <v>13107</v>
      </c>
      <c r="I18" s="0" t="n">
        <f aca="false">ROUNDDOWN(E7/10,0)</f>
        <v>2605</v>
      </c>
      <c r="J18" s="0" t="n">
        <f aca="false">ROUNDDOWN(E15/10,0)</f>
        <v>19109</v>
      </c>
      <c r="K18" s="0" t="n">
        <f aca="false">POWER(2,6)</f>
        <v>64</v>
      </c>
      <c r="L18" s="10" t="n">
        <f aca="false">(G18*H18)+ROUNDDOWN((I18*J18)/K18,0)</f>
        <v>54975241</v>
      </c>
    </row>
    <row r="19" customFormat="false" ht="12.8" hidden="false" customHeight="false" outlineLevel="0" collapsed="false">
      <c r="A19" s="0" t="s">
        <v>11</v>
      </c>
      <c r="C19" s="0" t="s">
        <v>41</v>
      </c>
      <c r="E19" s="8" t="n">
        <f aca="false">E4*POWER(2,16)+(E6*E15)/POWER(2,7)</f>
        <v>2816863607.125</v>
      </c>
      <c r="G19" s="0" t="n">
        <f aca="false">ROUNDDOWN(E4/10,0)</f>
        <v>4237</v>
      </c>
      <c r="H19" s="0" t="n">
        <f aca="false">ROUNDDOWN(POWER(2,16)/10,0)</f>
        <v>6553</v>
      </c>
      <c r="I19" s="0" t="n">
        <f aca="false">ROUNDDOWN(E6/10,0)</f>
        <v>2686</v>
      </c>
      <c r="J19" s="0" t="n">
        <f aca="false">J18</f>
        <v>19109</v>
      </c>
      <c r="K19" s="0" t="n">
        <f aca="false">POWER(2,7)</f>
        <v>128</v>
      </c>
      <c r="L19" s="10" t="n">
        <f aca="false">ROUNDDOWN((G19*H19+(I19*J19)/K19),0)</f>
        <v>28166051</v>
      </c>
    </row>
    <row r="20" customFormat="false" ht="12.8" hidden="false" customHeight="false" outlineLevel="0" collapsed="false">
      <c r="A20" s="0" t="s">
        <v>42</v>
      </c>
      <c r="C20" s="0" t="s">
        <v>43</v>
      </c>
      <c r="E20" s="9" t="n">
        <f aca="false">ROUND(((E12*E19/POWER(2,21)-E18)/POWER(2,15)),0)/100</f>
        <v>831.98</v>
      </c>
      <c r="F20" s="12" t="n">
        <f aca="false">E20/33.864</f>
        <v>24.5682730923695</v>
      </c>
      <c r="G20" s="0" t="n">
        <f aca="false">ROUNDDOWN(E12/10,0)</f>
        <v>612335</v>
      </c>
      <c r="H20" s="13" t="n">
        <f aca="false">L19</f>
        <v>28166051</v>
      </c>
      <c r="I20" s="14" t="n">
        <f aca="false">ROUNDDOWN(POWER(2,21)/10,0)</f>
        <v>209715</v>
      </c>
      <c r="J20" s="0" t="n">
        <f aca="false">L18</f>
        <v>54975241</v>
      </c>
      <c r="K20" s="0" t="n">
        <f aca="false">ROUNDDOWN(POWER(2,15)/10,0)</f>
        <v>3276</v>
      </c>
      <c r="L20" s="10" t="n">
        <f aca="false">ROUNDDOWN(((G20*ROUNDDOWN(H20/I20,0)-J20)/K20)/10,1)</f>
        <v>826.5</v>
      </c>
      <c r="M20" s="12" t="n">
        <f aca="false">L20/33.864</f>
        <v>24.4064493267186</v>
      </c>
    </row>
    <row r="21" customFormat="false" ht="12.8" hidden="false" customHeight="false" outlineLevel="0" collapsed="false">
      <c r="G21" s="0" t="n">
        <f aca="false">H21*G20</f>
        <v>82052890</v>
      </c>
      <c r="H21" s="15" t="n">
        <f aca="false">ROUNDDOWN(H20/I20,0)</f>
        <v>134</v>
      </c>
      <c r="I21" s="15"/>
      <c r="J21" s="0" t="n">
        <f aca="false">G21-L18</f>
        <v>27077649</v>
      </c>
      <c r="K21" s="0" t="n">
        <f aca="false">J21/K20</f>
        <v>8265.46062271062</v>
      </c>
    </row>
    <row r="22" customFormat="false" ht="12.8" hidden="false" customHeight="false" outlineLevel="0" collapsed="false">
      <c r="A22" s="0" t="s">
        <v>44</v>
      </c>
      <c r="C22" s="16" t="s">
        <v>45</v>
      </c>
      <c r="F22" s="17" t="n">
        <v>30.42</v>
      </c>
      <c r="L22" s="17" t="n">
        <v>1019.3</v>
      </c>
      <c r="M22" s="17" t="n">
        <v>30.42</v>
      </c>
    </row>
    <row r="23" customFormat="false" ht="12.8" hidden="false" customHeight="false" outlineLevel="0" collapsed="false">
      <c r="A23" s="0" t="s">
        <v>46</v>
      </c>
      <c r="C23" s="0" t="s">
        <v>47</v>
      </c>
      <c r="F23" s="8" t="n">
        <f aca="false">F22-29.92</f>
        <v>0.5</v>
      </c>
      <c r="L23" s="0" t="n">
        <f aca="false">L22-1013.25</f>
        <v>6.04999999999995</v>
      </c>
      <c r="M23" s="8" t="n">
        <f aca="false">M22-29.92</f>
        <v>0.5</v>
      </c>
    </row>
    <row r="24" customFormat="false" ht="12.8" hidden="false" customHeight="false" outlineLevel="0" collapsed="false">
      <c r="A24" s="0" t="s">
        <v>48</v>
      </c>
      <c r="C24" s="0" t="s">
        <v>49</v>
      </c>
      <c r="F24" s="18" t="n">
        <f aca="false">F20-F23</f>
        <v>24.0682730923695</v>
      </c>
      <c r="G24" s="0" t="n">
        <f aca="false">(29.92-F24)</f>
        <v>5.8517269076305</v>
      </c>
      <c r="L24" s="18" t="n">
        <f aca="false">L20-L23</f>
        <v>820.45</v>
      </c>
      <c r="M24" s="18" t="n">
        <f aca="false">M20-M23</f>
        <v>23.9064493267186</v>
      </c>
    </row>
    <row r="25" customFormat="false" ht="12.8" hidden="false" customHeight="false" outlineLevel="0" collapsed="false">
      <c r="A25" s="0" t="s">
        <v>50</v>
      </c>
      <c r="C25" s="0" t="s">
        <v>51</v>
      </c>
      <c r="E25" s="19" t="n">
        <f aca="false">F25/3.281</f>
        <v>1783.51932570269</v>
      </c>
      <c r="F25" s="19" t="n">
        <f aca="false">(29.92-F24)*1000</f>
        <v>5851.72690763052</v>
      </c>
      <c r="L25" s="20" t="n">
        <f aca="false">(1013.25-L24)/I1</f>
        <v>1736.93693693694</v>
      </c>
      <c r="M25" s="19" t="n">
        <f aca="false">(29.92-M24)*1000</f>
        <v>6013.55067328136</v>
      </c>
    </row>
    <row r="28" customFormat="false" ht="12.8" hidden="false" customHeight="false" outlineLevel="0" collapsed="false">
      <c r="L28" s="0" t="n">
        <f aca="false">ROUNDDOWN(L20*100,0)</f>
        <v>82650</v>
      </c>
    </row>
    <row r="29" customFormat="false" ht="12.8" hidden="false" customHeight="false" outlineLevel="0" collapsed="false">
      <c r="L29" s="0" t="n">
        <f aca="false">ROUNDDOWN(L22*100,0)</f>
        <v>101930</v>
      </c>
    </row>
    <row r="30" customFormat="false" ht="12.8" hidden="false" customHeight="false" outlineLevel="0" collapsed="false">
      <c r="L30" s="0" t="n">
        <f aca="false">L29-101325</f>
        <v>605</v>
      </c>
    </row>
    <row r="31" customFormat="false" ht="12.8" hidden="false" customHeight="false" outlineLevel="0" collapsed="false">
      <c r="L31" s="0" t="n">
        <f aca="false">L28-L30</f>
        <v>82045</v>
      </c>
    </row>
    <row r="32" customFormat="false" ht="12.8" hidden="false" customHeight="false" outlineLevel="0" collapsed="false">
      <c r="L32" s="0" t="n">
        <f aca="false">(101325-L31)/(I1*100)</f>
        <v>1736.93693693694</v>
      </c>
    </row>
  </sheetData>
  <mergeCells count="2">
    <mergeCell ref="A1:F1"/>
    <mergeCell ref="H21:I21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4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8.52"/>
    <col collapsed="false" customWidth="true" hidden="false" outlineLevel="0" max="3" min="3" style="0" width="29.72"/>
    <col collapsed="false" customWidth="true" hidden="false" outlineLevel="0" max="4" min="4" style="0" width="7.95"/>
    <col collapsed="false" customWidth="true" hidden="false" outlineLevel="0" max="5" min="5" style="0" width="16.71"/>
  </cols>
  <sheetData>
    <row r="1" customFormat="false" ht="12.8" hidden="false" customHeight="false" outlineLevel="0" collapsed="false">
      <c r="A1" s="1" t="s">
        <v>0</v>
      </c>
      <c r="B1" s="1"/>
      <c r="C1" s="1"/>
      <c r="D1" s="1"/>
      <c r="E1" s="1"/>
    </row>
    <row r="2" customFormat="false" ht="12.8" hidden="false" customHeight="false" outlineLevel="0" collapsed="false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customFormat="false" ht="12.8" hidden="false" customHeight="false" outlineLevel="0" collapsed="false">
      <c r="A3" s="0" t="s">
        <v>8</v>
      </c>
      <c r="C3" s="0" t="s">
        <v>9</v>
      </c>
      <c r="D3" s="4" t="str">
        <f aca="false">DEC2HEX(E3)</f>
        <v>28</v>
      </c>
      <c r="E3" s="5" t="n">
        <v>40</v>
      </c>
    </row>
    <row r="4" customFormat="false" ht="12.8" hidden="false" customHeight="false" outlineLevel="0" collapsed="false">
      <c r="A4" s="0" t="s">
        <v>10</v>
      </c>
      <c r="B4" s="0" t="s">
        <v>11</v>
      </c>
      <c r="C4" s="0" t="s">
        <v>12</v>
      </c>
      <c r="D4" s="4" t="str">
        <f aca="false">DEC2HEX(E4)</f>
        <v>A582</v>
      </c>
      <c r="E4" s="5" t="n">
        <v>42370</v>
      </c>
    </row>
    <row r="5" customFormat="false" ht="12.8" hidden="false" customHeight="false" outlineLevel="0" collapsed="false">
      <c r="A5" s="0" t="s">
        <v>13</v>
      </c>
      <c r="B5" s="0" t="s">
        <v>14</v>
      </c>
      <c r="C5" s="0" t="s">
        <v>15</v>
      </c>
      <c r="D5" s="4" t="str">
        <f aca="false">DEC2HEX(E5)</f>
        <v>A18D</v>
      </c>
      <c r="E5" s="5" t="n">
        <v>41357</v>
      </c>
    </row>
    <row r="6" customFormat="false" ht="12.8" hidden="false" customHeight="false" outlineLevel="0" collapsed="false">
      <c r="A6" s="0" t="s">
        <v>16</v>
      </c>
      <c r="B6" s="0" t="s">
        <v>17</v>
      </c>
      <c r="C6" s="0" t="s">
        <v>18</v>
      </c>
      <c r="D6" s="4" t="str">
        <f aca="false">DEC2HEX(E6)</f>
        <v>68EE</v>
      </c>
      <c r="E6" s="5" t="n">
        <v>26862</v>
      </c>
    </row>
    <row r="7" customFormat="false" ht="12.8" hidden="false" customHeight="false" outlineLevel="0" collapsed="false">
      <c r="A7" s="0" t="s">
        <v>19</v>
      </c>
      <c r="B7" s="0" t="s">
        <v>20</v>
      </c>
      <c r="C7" s="0" t="s">
        <v>21</v>
      </c>
      <c r="D7" s="4" t="str">
        <f aca="false">DEC2HEX(E7)</f>
        <v>65C9</v>
      </c>
      <c r="E7" s="5" t="n">
        <v>26057</v>
      </c>
    </row>
    <row r="8" customFormat="false" ht="12.8" hidden="false" customHeight="false" outlineLevel="0" collapsed="false">
      <c r="A8" s="0" t="s">
        <v>22</v>
      </c>
      <c r="B8" s="0" t="s">
        <v>23</v>
      </c>
      <c r="C8" s="0" t="s">
        <v>24</v>
      </c>
      <c r="D8" s="4" t="str">
        <f aca="false">DEC2HEX(E8)</f>
        <v>7ED8</v>
      </c>
      <c r="E8" s="5" t="n">
        <v>32472</v>
      </c>
    </row>
    <row r="9" customFormat="false" ht="12.8" hidden="false" customHeight="false" outlineLevel="0" collapsed="false">
      <c r="A9" s="0" t="s">
        <v>25</v>
      </c>
      <c r="B9" s="0" t="s">
        <v>26</v>
      </c>
      <c r="C9" s="0" t="s">
        <v>27</v>
      </c>
      <c r="D9" s="4" t="str">
        <f aca="false">DEC2HEX(E9)</f>
        <v>6C42</v>
      </c>
      <c r="E9" s="5" t="n">
        <v>27714</v>
      </c>
    </row>
    <row r="10" customFormat="false" ht="12.8" hidden="false" customHeight="false" outlineLevel="0" collapsed="false">
      <c r="B10" s="0" t="s">
        <v>28</v>
      </c>
      <c r="C10" s="0" t="s">
        <v>29</v>
      </c>
      <c r="D10" s="4" t="str">
        <f aca="false">DEC2HEX(E10)</f>
        <v>521D</v>
      </c>
      <c r="E10" s="5" t="n">
        <v>21021</v>
      </c>
    </row>
    <row r="12" customFormat="false" ht="12.8" hidden="false" customHeight="false" outlineLevel="0" collapsed="false">
      <c r="A12" s="0" t="s">
        <v>30</v>
      </c>
      <c r="C12" s="0" t="s">
        <v>31</v>
      </c>
      <c r="D12" s="6" t="s">
        <v>32</v>
      </c>
      <c r="E12" s="7" t="n">
        <v>6017656</v>
      </c>
    </row>
    <row r="13" customFormat="false" ht="12.8" hidden="false" customHeight="false" outlineLevel="0" collapsed="false">
      <c r="A13" s="0" t="s">
        <v>33</v>
      </c>
      <c r="C13" s="0" t="s">
        <v>34</v>
      </c>
      <c r="D13" s="6" t="s">
        <v>35</v>
      </c>
      <c r="E13" s="7" t="n">
        <v>8410168</v>
      </c>
    </row>
    <row r="15" customFormat="false" ht="12.8" hidden="false" customHeight="false" outlineLevel="0" collapsed="false">
      <c r="A15" s="0" t="s">
        <v>36</v>
      </c>
      <c r="C15" s="0" t="s">
        <v>37</v>
      </c>
      <c r="E15" s="21" t="n">
        <f aca="false">E13-E8*POWER(2,8)</f>
        <v>97336</v>
      </c>
    </row>
    <row r="16" customFormat="false" ht="12.8" hidden="false" customHeight="false" outlineLevel="0" collapsed="false">
      <c r="A16" s="0" t="s">
        <v>38</v>
      </c>
      <c r="C16" s="0" t="s">
        <v>52</v>
      </c>
      <c r="E16" s="22" t="n">
        <f aca="false">ROUNDDOWN((2000+((E15*E9)/POWER(2,23))),0)</f>
        <v>2321</v>
      </c>
      <c r="F16" s="23" t="n">
        <f aca="false">ROUNDDOWN((E16*(9*100))/(5*100)+(32*100),0)</f>
        <v>7377</v>
      </c>
    </row>
    <row r="17" customFormat="false" ht="12.8" hidden="false" customHeight="false" outlineLevel="0" collapsed="false">
      <c r="E17" s="24"/>
      <c r="F17" s="25"/>
    </row>
    <row r="18" customFormat="false" ht="12.8" hidden="false" customHeight="false" outlineLevel="0" collapsed="false">
      <c r="A18" s="4" t="s">
        <v>53</v>
      </c>
      <c r="B18" s="4"/>
      <c r="C18" s="4" t="s">
        <v>54</v>
      </c>
      <c r="D18" s="4"/>
      <c r="E18" s="26" t="n">
        <v>1000</v>
      </c>
      <c r="F18" s="4"/>
      <c r="I18" s="25" t="s">
        <v>55</v>
      </c>
      <c r="J18" s="25" t="s">
        <v>56</v>
      </c>
    </row>
    <row r="19" customFormat="false" ht="12.8" hidden="false" customHeight="false" outlineLevel="0" collapsed="false">
      <c r="A19" s="4" t="s">
        <v>57</v>
      </c>
      <c r="B19" s="4"/>
      <c r="C19" s="4" t="s">
        <v>58</v>
      </c>
      <c r="D19" s="4"/>
      <c r="E19" s="27" t="n">
        <v>33.863</v>
      </c>
      <c r="F19" s="28" t="n">
        <f aca="false">ROUNDDOWN(E18*E19,0)</f>
        <v>33863</v>
      </c>
      <c r="H19" s="29" t="s">
        <v>59</v>
      </c>
      <c r="I19" s="30" t="n">
        <f aca="false">E29</f>
        <v>78308</v>
      </c>
      <c r="J19" s="0" t="n">
        <f aca="false">F29</f>
        <v>2312</v>
      </c>
    </row>
    <row r="20" customFormat="false" ht="12.8" hidden="false" customHeight="false" outlineLevel="0" collapsed="false">
      <c r="A20" s="4" t="s">
        <v>60</v>
      </c>
      <c r="B20" s="4"/>
      <c r="C20" s="4" t="s">
        <v>61</v>
      </c>
      <c r="D20" s="4"/>
      <c r="E20" s="27" t="n">
        <v>0.111</v>
      </c>
      <c r="F20" s="31" t="n">
        <f aca="false">ROUNDDOWN(E18*E20,0)</f>
        <v>111</v>
      </c>
      <c r="H20" s="0" t="s">
        <v>62</v>
      </c>
      <c r="I20" s="0" t="n">
        <f aca="false">ROUNDDOWN((F21-((E29*10)-(F24-F21)))/F20,0)</f>
        <v>2072</v>
      </c>
      <c r="J20" s="0" t="n">
        <f aca="false">ROUNDDOWN((F22-((F29*10)-(F23-F22))),0)</f>
        <v>6800</v>
      </c>
    </row>
    <row r="21" customFormat="false" ht="12.8" hidden="false" customHeight="false" outlineLevel="0" collapsed="false">
      <c r="A21" s="4" t="s">
        <v>63</v>
      </c>
      <c r="B21" s="4"/>
      <c r="C21" s="4" t="s">
        <v>64</v>
      </c>
      <c r="D21" s="4"/>
      <c r="E21" s="32" t="n">
        <v>1013.25</v>
      </c>
      <c r="F21" s="31" t="n">
        <f aca="false">ROUNDDOWN(E21*E18,0)</f>
        <v>1013250</v>
      </c>
      <c r="H21" s="0" t="s">
        <v>65</v>
      </c>
      <c r="I21" s="0" t="n">
        <f aca="false">F21-((F21-(I20*F20))-(E29*10))</f>
        <v>1013072</v>
      </c>
      <c r="J21" s="0" t="n">
        <f aca="false">F22-((F22-J20)-(F29*10))</f>
        <v>29920</v>
      </c>
    </row>
    <row r="22" customFormat="false" ht="12.8" hidden="false" customHeight="false" outlineLevel="0" collapsed="false">
      <c r="A22" s="4" t="s">
        <v>63</v>
      </c>
      <c r="B22" s="4"/>
      <c r="C22" s="4" t="s">
        <v>66</v>
      </c>
      <c r="D22" s="4"/>
      <c r="E22" s="32" t="n">
        <v>29.92</v>
      </c>
      <c r="F22" s="33" t="n">
        <f aca="false">ROUNDDOWN(E22*E18,0)</f>
        <v>29920</v>
      </c>
    </row>
    <row r="23" customFormat="false" ht="12.8" hidden="false" customHeight="false" outlineLevel="0" collapsed="false">
      <c r="A23" s="4" t="s">
        <v>67</v>
      </c>
      <c r="B23" s="4"/>
      <c r="C23" s="4" t="s">
        <v>68</v>
      </c>
      <c r="D23" s="4"/>
      <c r="E23" s="34" t="n">
        <v>29.92</v>
      </c>
      <c r="F23" s="33" t="n">
        <f aca="false">ROUNDDOWN(E23*E18,0)</f>
        <v>29920</v>
      </c>
    </row>
    <row r="24" customFormat="false" ht="12.8" hidden="false" customHeight="false" outlineLevel="0" collapsed="false">
      <c r="A24" s="4" t="s">
        <v>69</v>
      </c>
      <c r="B24" s="4"/>
      <c r="C24" s="4" t="s">
        <v>70</v>
      </c>
      <c r="D24" s="4"/>
      <c r="E24" s="32" t="n">
        <f aca="false">E23*E19</f>
        <v>1013.18096</v>
      </c>
      <c r="F24" s="33" t="n">
        <f aca="false">ROUNDDOWN((F23*F19)/E18,0)</f>
        <v>1013180</v>
      </c>
    </row>
    <row r="25" customFormat="false" ht="12.8" hidden="false" customHeight="false" outlineLevel="0" collapsed="false">
      <c r="A25" s="4" t="s">
        <v>71</v>
      </c>
      <c r="B25" s="4"/>
      <c r="C25" s="4" t="s">
        <v>72</v>
      </c>
      <c r="D25" s="4"/>
      <c r="E25" s="32"/>
      <c r="F25" s="33" t="n">
        <f aca="false">ROUNDDOWN((F24*E18)/F19,0)</f>
        <v>29919</v>
      </c>
    </row>
    <row r="26" customFormat="false" ht="12.8" hidden="false" customHeight="false" outlineLevel="0" collapsed="false">
      <c r="E26" s="24"/>
    </row>
    <row r="27" customFormat="false" ht="12.8" hidden="false" customHeight="false" outlineLevel="0" collapsed="false">
      <c r="A27" s="0" t="s">
        <v>14</v>
      </c>
      <c r="C27" s="0" t="s">
        <v>40</v>
      </c>
      <c r="E27" s="21" t="n">
        <f aca="false">E5*POWER(2,17)+(E7*E15)/POWER(2,6)</f>
        <v>5460374143.875</v>
      </c>
    </row>
    <row r="28" customFormat="false" ht="12.8" hidden="false" customHeight="false" outlineLevel="0" collapsed="false">
      <c r="A28" s="0" t="s">
        <v>11</v>
      </c>
      <c r="C28" s="0" t="s">
        <v>41</v>
      </c>
      <c r="E28" s="21" t="n">
        <f aca="false">E4*POWER(2,16)+(E6*E15)/POWER(2,7)</f>
        <v>2797187192.125</v>
      </c>
    </row>
    <row r="29" customFormat="false" ht="12.8" hidden="false" customHeight="false" outlineLevel="0" collapsed="false">
      <c r="A29" s="0" t="s">
        <v>73</v>
      </c>
      <c r="C29" s="0" t="s">
        <v>74</v>
      </c>
      <c r="E29" s="35" t="n">
        <f aca="false">ROUND(((E12*E28/POWER(2,21)-E27)/POWER(2,15)),0)</f>
        <v>78308</v>
      </c>
      <c r="F29" s="23" t="n">
        <f aca="false">ROUNDDOWN((E29*E18)/F19,0)</f>
        <v>2312</v>
      </c>
    </row>
    <row r="31" customFormat="false" ht="12.8" hidden="false" customHeight="false" outlineLevel="0" collapsed="false">
      <c r="A31" s="0" t="s">
        <v>75</v>
      </c>
      <c r="C31" s="0" t="s">
        <v>76</v>
      </c>
      <c r="E31" s="36" t="n">
        <f aca="false">POWER(E15,2)/POWER(2,31)</f>
        <v>4.41181328892708</v>
      </c>
    </row>
    <row r="32" customFormat="false" ht="12.8" hidden="false" customHeight="false" outlineLevel="0" collapsed="false">
      <c r="A32" s="0" t="s">
        <v>77</v>
      </c>
      <c r="C32" s="0" t="s">
        <v>76</v>
      </c>
      <c r="E32" s="36" t="n">
        <f aca="false">(61*POWER((E16-2000),2))/POWER(2,4)</f>
        <v>392843.8125</v>
      </c>
    </row>
    <row r="33" customFormat="false" ht="12.8" hidden="false" customHeight="false" outlineLevel="0" collapsed="false">
      <c r="A33" s="0" t="s">
        <v>78</v>
      </c>
      <c r="C33" s="0" t="s">
        <v>76</v>
      </c>
      <c r="E33" s="36" t="n">
        <f aca="false">(2*POWER((E16-2000),2))</f>
        <v>206082</v>
      </c>
    </row>
    <row r="34" customFormat="false" ht="12.8" hidden="false" customHeight="false" outlineLevel="0" collapsed="false">
      <c r="A34" s="8" t="s">
        <v>38</v>
      </c>
      <c r="B34" s="8"/>
      <c r="C34" s="8" t="s">
        <v>76</v>
      </c>
      <c r="D34" s="8"/>
      <c r="E34" s="21" t="n">
        <f aca="false">E16-E31</f>
        <v>2316.58818671107</v>
      </c>
    </row>
    <row r="35" customFormat="false" ht="12.8" hidden="false" customHeight="false" outlineLevel="0" collapsed="false">
      <c r="A35" s="0" t="s">
        <v>14</v>
      </c>
      <c r="C35" s="0" t="s">
        <v>76</v>
      </c>
      <c r="E35" s="36" t="n">
        <f aca="false">E27-E32</f>
        <v>5459981300.0625</v>
      </c>
    </row>
    <row r="36" customFormat="false" ht="12.8" hidden="false" customHeight="false" outlineLevel="0" collapsed="false">
      <c r="A36" s="0" t="s">
        <v>11</v>
      </c>
      <c r="C36" s="0" t="s">
        <v>76</v>
      </c>
      <c r="E36" s="36" t="n">
        <f aca="false">E28-E33</f>
        <v>2796981110.125</v>
      </c>
    </row>
    <row r="37" customFormat="false" ht="12.8" hidden="false" customHeight="false" outlineLevel="0" collapsed="false">
      <c r="A37" s="8" t="s">
        <v>73</v>
      </c>
      <c r="B37" s="8"/>
      <c r="C37" s="8" t="s">
        <v>76</v>
      </c>
      <c r="D37" s="8"/>
      <c r="E37" s="37" t="n">
        <f aca="false">ROUND(((E12*E36/POWER(2,21)-E35)/POWER(2,15)),0)</f>
        <v>78302</v>
      </c>
    </row>
    <row r="38" customFormat="false" ht="12.8" hidden="false" customHeight="false" outlineLevel="0" collapsed="false">
      <c r="E38" s="36"/>
    </row>
    <row r="39" customFormat="false" ht="12.8" hidden="false" customHeight="false" outlineLevel="0" collapsed="false">
      <c r="A39" s="0" t="s">
        <v>77</v>
      </c>
      <c r="C39" s="0" t="s">
        <v>79</v>
      </c>
      <c r="E39" s="36" t="n">
        <f aca="false">E32+(15*POWER((E16+1500),2))</f>
        <v>219393458.8125</v>
      </c>
    </row>
    <row r="40" customFormat="false" ht="12.8" hidden="false" customHeight="false" outlineLevel="0" collapsed="false">
      <c r="A40" s="0" t="s">
        <v>78</v>
      </c>
      <c r="C40" s="0" t="s">
        <v>79</v>
      </c>
      <c r="E40" s="36" t="n">
        <f aca="false">E33+(8*POWER((E16+1500),2))</f>
        <v>117006410</v>
      </c>
    </row>
    <row r="41" customFormat="false" ht="12.8" hidden="false" customHeight="false" outlineLevel="0" collapsed="false">
      <c r="A41" s="0" t="s">
        <v>14</v>
      </c>
      <c r="C41" s="0" t="s">
        <v>79</v>
      </c>
      <c r="E41" s="36" t="n">
        <f aca="false">E27-E39</f>
        <v>5240980685.0625</v>
      </c>
    </row>
    <row r="42" customFormat="false" ht="12.8" hidden="false" customHeight="false" outlineLevel="0" collapsed="false">
      <c r="A42" s="0" t="s">
        <v>11</v>
      </c>
      <c r="C42" s="0" t="s">
        <v>79</v>
      </c>
      <c r="E42" s="36" t="n">
        <f aca="false">E28-E40</f>
        <v>2680180782.125</v>
      </c>
    </row>
    <row r="43" customFormat="false" ht="12.8" hidden="false" customHeight="false" outlineLevel="0" collapsed="false">
      <c r="A43" s="8" t="s">
        <v>73</v>
      </c>
      <c r="B43" s="8"/>
      <c r="C43" s="8" t="s">
        <v>79</v>
      </c>
      <c r="D43" s="8"/>
      <c r="E43" s="37" t="n">
        <f aca="false">ROUND(((E12*E42/POWER(2,21)-E41)/POWER(2,15)),0)</f>
        <v>74757</v>
      </c>
    </row>
  </sheetData>
  <mergeCells count="1">
    <mergeCell ref="A1:E1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7" activeCellId="0" sqref="A17"/>
    </sheetView>
  </sheetViews>
  <sheetFormatPr defaultColWidth="11.53515625" defaultRowHeight="12.8" zeroHeight="false" outlineLevelRow="0" outlineLevelCol="0"/>
  <cols>
    <col collapsed="false" customWidth="true" hidden="false" outlineLevel="0" max="6" min="6" style="0" width="14.6"/>
    <col collapsed="false" customWidth="true" hidden="false" outlineLevel="0" max="7" min="7" style="0" width="17.84"/>
    <col collapsed="false" customWidth="true" hidden="false" outlineLevel="0" max="8" min="8" style="0" width="49.49"/>
  </cols>
  <sheetData>
    <row r="1" customFormat="false" ht="12.8" hidden="false" customHeight="false" outlineLevel="0" collapsed="false">
      <c r="A1" s="38" t="s">
        <v>80</v>
      </c>
      <c r="B1" s="38"/>
      <c r="C1" s="38"/>
      <c r="D1" s="39" t="s">
        <v>81</v>
      </c>
      <c r="E1" s="39"/>
      <c r="F1" s="39"/>
      <c r="G1" s="39"/>
      <c r="H1" s="39"/>
    </row>
    <row r="2" customFormat="false" ht="12.8" hidden="false" customHeight="false" outlineLevel="0" collapsed="false">
      <c r="A2" s="40" t="s">
        <v>82</v>
      </c>
      <c r="B2" s="41" t="s">
        <v>83</v>
      </c>
      <c r="C2" s="42" t="s">
        <v>84</v>
      </c>
      <c r="D2" s="41" t="s">
        <v>85</v>
      </c>
      <c r="E2" s="41" t="s">
        <v>86</v>
      </c>
      <c r="F2" s="41" t="s">
        <v>87</v>
      </c>
      <c r="G2" s="41" t="s">
        <v>88</v>
      </c>
      <c r="H2" s="42" t="s">
        <v>89</v>
      </c>
    </row>
    <row r="3" customFormat="false" ht="12.8" hidden="false" customHeight="false" outlineLevel="0" collapsed="false">
      <c r="A3" s="43" t="n">
        <v>1</v>
      </c>
      <c r="B3" s="44" t="s">
        <v>90</v>
      </c>
      <c r="C3" s="45" t="s">
        <v>91</v>
      </c>
      <c r="D3" s="44" t="s">
        <v>91</v>
      </c>
      <c r="E3" s="44" t="s">
        <v>91</v>
      </c>
      <c r="F3" s="44" t="s">
        <v>92</v>
      </c>
      <c r="G3" s="44" t="s">
        <v>92</v>
      </c>
      <c r="H3" s="46"/>
    </row>
    <row r="4" customFormat="false" ht="12.8" hidden="false" customHeight="false" outlineLevel="0" collapsed="false">
      <c r="A4" s="43" t="n">
        <v>2</v>
      </c>
      <c r="B4" s="44" t="s">
        <v>93</v>
      </c>
      <c r="C4" s="45" t="s">
        <v>94</v>
      </c>
      <c r="D4" s="44" t="n">
        <v>1</v>
      </c>
      <c r="E4" s="44" t="n">
        <v>0</v>
      </c>
      <c r="F4" s="44" t="s">
        <v>95</v>
      </c>
      <c r="G4" s="44" t="s">
        <v>96</v>
      </c>
      <c r="H4" s="46" t="s">
        <v>97</v>
      </c>
    </row>
    <row r="5" customFormat="false" ht="12.8" hidden="false" customHeight="false" outlineLevel="0" collapsed="false">
      <c r="A5" s="43" t="n">
        <v>3</v>
      </c>
      <c r="B5" s="44" t="s">
        <v>98</v>
      </c>
      <c r="C5" s="45" t="s">
        <v>99</v>
      </c>
      <c r="D5" s="44" t="n">
        <v>0</v>
      </c>
      <c r="E5" s="44" t="n">
        <v>0</v>
      </c>
      <c r="F5" s="44" t="s">
        <v>98</v>
      </c>
      <c r="G5" s="44" t="s">
        <v>100</v>
      </c>
      <c r="H5" s="46" t="s">
        <v>101</v>
      </c>
    </row>
    <row r="6" customFormat="false" ht="12.8" hidden="false" customHeight="false" outlineLevel="0" collapsed="false">
      <c r="A6" s="43" t="n">
        <v>4</v>
      </c>
      <c r="B6" s="44" t="s">
        <v>102</v>
      </c>
      <c r="C6" s="45" t="s">
        <v>91</v>
      </c>
      <c r="D6" s="44" t="n">
        <v>1</v>
      </c>
      <c r="E6" s="44" t="n">
        <v>0</v>
      </c>
      <c r="F6" s="44" t="s">
        <v>103</v>
      </c>
      <c r="G6" s="44" t="s">
        <v>104</v>
      </c>
      <c r="H6" s="46" t="s">
        <v>105</v>
      </c>
    </row>
    <row r="7" customFormat="false" ht="12.8" hidden="false" customHeight="false" outlineLevel="0" collapsed="false">
      <c r="A7" s="43" t="n">
        <v>5</v>
      </c>
      <c r="B7" s="44" t="s">
        <v>106</v>
      </c>
      <c r="C7" s="45" t="s">
        <v>107</v>
      </c>
      <c r="D7" s="44" t="n">
        <v>0</v>
      </c>
      <c r="E7" s="44" t="n">
        <v>0</v>
      </c>
      <c r="F7" s="44" t="s">
        <v>106</v>
      </c>
      <c r="G7" s="44" t="s">
        <v>108</v>
      </c>
      <c r="H7" s="46" t="s">
        <v>109</v>
      </c>
    </row>
    <row r="8" customFormat="false" ht="12.8" hidden="false" customHeight="false" outlineLevel="0" collapsed="false">
      <c r="A8" s="43" t="n">
        <v>6</v>
      </c>
      <c r="B8" s="44" t="s">
        <v>110</v>
      </c>
      <c r="C8" s="45" t="s">
        <v>111</v>
      </c>
      <c r="D8" s="44" t="n">
        <v>0</v>
      </c>
      <c r="E8" s="44" t="n">
        <v>0</v>
      </c>
      <c r="F8" s="44" t="s">
        <v>110</v>
      </c>
      <c r="G8" s="44" t="s">
        <v>112</v>
      </c>
      <c r="H8" s="46" t="s">
        <v>113</v>
      </c>
    </row>
    <row r="9" customFormat="false" ht="12.8" hidden="false" customHeight="false" outlineLevel="0" collapsed="false">
      <c r="A9" s="43" t="n">
        <v>7</v>
      </c>
      <c r="B9" s="44" t="s">
        <v>114</v>
      </c>
      <c r="C9" s="45" t="s">
        <v>115</v>
      </c>
      <c r="D9" s="44" t="n">
        <v>0</v>
      </c>
      <c r="E9" s="44" t="n">
        <v>0</v>
      </c>
      <c r="F9" s="44" t="s">
        <v>114</v>
      </c>
      <c r="G9" s="44" t="s">
        <v>116</v>
      </c>
      <c r="H9" s="46" t="s">
        <v>117</v>
      </c>
    </row>
    <row r="10" customFormat="false" ht="12.8" hidden="false" customHeight="false" outlineLevel="0" collapsed="false">
      <c r="A10" s="43" t="n">
        <v>8</v>
      </c>
      <c r="B10" s="44" t="s">
        <v>118</v>
      </c>
      <c r="C10" s="45" t="s">
        <v>119</v>
      </c>
      <c r="D10" s="44" t="n">
        <v>0</v>
      </c>
      <c r="E10" s="44" t="n">
        <v>0</v>
      </c>
      <c r="F10" s="44" t="s">
        <v>120</v>
      </c>
      <c r="G10" s="44" t="s">
        <v>121</v>
      </c>
      <c r="H10" s="46" t="s">
        <v>122</v>
      </c>
    </row>
    <row r="11" customFormat="false" ht="12.8" hidden="false" customHeight="false" outlineLevel="0" collapsed="false">
      <c r="A11" s="43" t="n">
        <v>9</v>
      </c>
      <c r="B11" s="44" t="s">
        <v>123</v>
      </c>
      <c r="C11" s="45" t="s">
        <v>124</v>
      </c>
      <c r="D11" s="44" t="n">
        <v>1</v>
      </c>
      <c r="E11" s="44" t="n">
        <v>0</v>
      </c>
      <c r="F11" s="44" t="s">
        <v>120</v>
      </c>
      <c r="G11" s="44" t="s">
        <v>125</v>
      </c>
      <c r="H11" s="46" t="s">
        <v>126</v>
      </c>
    </row>
    <row r="12" customFormat="false" ht="12.8" hidden="false" customHeight="false" outlineLevel="0" collapsed="false">
      <c r="A12" s="43" t="n">
        <v>10</v>
      </c>
      <c r="B12" s="44" t="s">
        <v>127</v>
      </c>
      <c r="C12" s="45" t="s">
        <v>128</v>
      </c>
      <c r="D12" s="44" t="n">
        <v>0</v>
      </c>
      <c r="E12" s="44" t="n">
        <v>0</v>
      </c>
      <c r="F12" s="44" t="s">
        <v>120</v>
      </c>
      <c r="G12" s="44" t="s">
        <v>129</v>
      </c>
      <c r="H12" s="46" t="s">
        <v>130</v>
      </c>
    </row>
    <row r="13" customFormat="false" ht="12.8" hidden="false" customHeight="false" outlineLevel="0" collapsed="false">
      <c r="A13" s="43" t="n">
        <v>11</v>
      </c>
      <c r="B13" s="44" t="s">
        <v>131</v>
      </c>
      <c r="C13" s="45" t="s">
        <v>132</v>
      </c>
      <c r="D13" s="44" t="n">
        <v>0</v>
      </c>
      <c r="E13" s="44" t="n">
        <v>0</v>
      </c>
      <c r="F13" s="44" t="s">
        <v>131</v>
      </c>
      <c r="G13" s="44" t="s">
        <v>133</v>
      </c>
      <c r="H13" s="46" t="s">
        <v>134</v>
      </c>
    </row>
    <row r="14" customFormat="false" ht="12.8" hidden="false" customHeight="false" outlineLevel="0" collapsed="false">
      <c r="A14" s="43" t="n">
        <v>12</v>
      </c>
      <c r="B14" s="44" t="s">
        <v>135</v>
      </c>
      <c r="C14" s="45" t="s">
        <v>136</v>
      </c>
      <c r="D14" s="44" t="n">
        <v>0</v>
      </c>
      <c r="E14" s="44" t="n">
        <v>0</v>
      </c>
      <c r="F14" s="44" t="s">
        <v>137</v>
      </c>
      <c r="G14" s="44" t="s">
        <v>138</v>
      </c>
      <c r="H14" s="46" t="s">
        <v>139</v>
      </c>
    </row>
    <row r="15" customFormat="false" ht="12.8" hidden="false" customHeight="false" outlineLevel="0" collapsed="false">
      <c r="A15" s="43" t="n">
        <v>13</v>
      </c>
      <c r="B15" s="44" t="s">
        <v>140</v>
      </c>
      <c r="C15" s="45" t="s">
        <v>141</v>
      </c>
      <c r="D15" s="44" t="n">
        <v>0</v>
      </c>
      <c r="E15" s="44" t="n">
        <v>0</v>
      </c>
      <c r="F15" s="44" t="s">
        <v>142</v>
      </c>
      <c r="G15" s="44" t="s">
        <v>143</v>
      </c>
      <c r="H15" s="46" t="s">
        <v>144</v>
      </c>
    </row>
    <row r="16" customFormat="false" ht="12.8" hidden="false" customHeight="false" outlineLevel="0" collapsed="false">
      <c r="A16" s="47" t="n">
        <v>14</v>
      </c>
      <c r="B16" s="48" t="s">
        <v>145</v>
      </c>
      <c r="C16" s="49" t="s">
        <v>91</v>
      </c>
      <c r="D16" s="48" t="s">
        <v>91</v>
      </c>
      <c r="E16" s="48" t="s">
        <v>91</v>
      </c>
      <c r="F16" s="48" t="s">
        <v>146</v>
      </c>
      <c r="G16" s="48" t="s">
        <v>146</v>
      </c>
      <c r="H16" s="50"/>
    </row>
  </sheetData>
  <mergeCells count="2">
    <mergeCell ref="A1:C1"/>
    <mergeCell ref="D1:H1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9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4.94140625" defaultRowHeight="12.8" zeroHeight="false" outlineLevelRow="0" outlineLevelCol="0"/>
  <cols>
    <col collapsed="false" customWidth="true" hidden="false" outlineLevel="0" max="1" min="1" style="51" width="22.27"/>
    <col collapsed="false" customWidth="true" hidden="false" outlineLevel="0" max="2" min="2" style="51" width="13.41"/>
    <col collapsed="false" customWidth="true" hidden="false" outlineLevel="0" max="3" min="3" style="52" width="6.88"/>
    <col collapsed="false" customWidth="true" hidden="false" outlineLevel="0" max="4" min="4" style="52" width="8.52"/>
    <col collapsed="false" customWidth="true" hidden="false" outlineLevel="0" max="5" min="5" style="53" width="24.8"/>
    <col collapsed="false" customWidth="true" hidden="false" outlineLevel="0" max="6" min="6" style="54" width="12.09"/>
    <col collapsed="false" customWidth="true" hidden="false" outlineLevel="0" max="7" min="7" style="51" width="13.55"/>
    <col collapsed="false" customWidth="true" hidden="false" outlineLevel="0" max="8" min="8" style="55" width="33.97"/>
    <col collapsed="false" customWidth="true" hidden="false" outlineLevel="0" max="9" min="9" style="54" width="53.04"/>
    <col collapsed="false" customWidth="false" hidden="false" outlineLevel="0" max="10" min="10" style="52" width="14.92"/>
    <col collapsed="false" customWidth="false" hidden="false" outlineLevel="0" max="64" min="11" style="51" width="14.92"/>
    <col collapsed="false" customWidth="true" hidden="false" outlineLevel="0" max="1024" min="1021" style="51" width="11.52"/>
  </cols>
  <sheetData>
    <row r="1" customFormat="false" ht="12.8" hidden="false" customHeight="false" outlineLevel="0" collapsed="false">
      <c r="A1" s="56" t="s">
        <v>147</v>
      </c>
      <c r="B1" s="56" t="s">
        <v>148</v>
      </c>
      <c r="C1" s="56" t="s">
        <v>149</v>
      </c>
      <c r="D1" s="56" t="s">
        <v>150</v>
      </c>
      <c r="E1" s="56" t="s">
        <v>151</v>
      </c>
      <c r="F1" s="57" t="s">
        <v>152</v>
      </c>
      <c r="G1" s="56" t="s">
        <v>153</v>
      </c>
      <c r="H1" s="57" t="s">
        <v>154</v>
      </c>
      <c r="I1" s="57" t="s">
        <v>5</v>
      </c>
    </row>
    <row r="2" customFormat="false" ht="12.8" hidden="false" customHeight="false" outlineLevel="0" collapsed="false">
      <c r="A2" s="51" t="s">
        <v>155</v>
      </c>
      <c r="B2" s="58" t="s">
        <v>156</v>
      </c>
      <c r="C2" s="59" t="n">
        <v>2</v>
      </c>
      <c r="D2" s="59" t="s">
        <v>157</v>
      </c>
      <c r="E2" s="53" t="s">
        <v>158</v>
      </c>
      <c r="F2" s="54" t="s">
        <v>159</v>
      </c>
      <c r="G2" s="51" t="s">
        <v>160</v>
      </c>
      <c r="H2" s="60" t="s">
        <v>161</v>
      </c>
      <c r="I2" s="54" t="s">
        <v>162</v>
      </c>
    </row>
    <row r="3" customFormat="false" ht="12.8" hidden="false" customHeight="false" outlineLevel="0" collapsed="false">
      <c r="A3" s="51" t="s">
        <v>155</v>
      </c>
      <c r="B3" s="58" t="s">
        <v>163</v>
      </c>
      <c r="C3" s="59" t="n">
        <v>1</v>
      </c>
      <c r="D3" s="59" t="s">
        <v>157</v>
      </c>
      <c r="E3" s="53" t="s">
        <v>164</v>
      </c>
      <c r="F3" s="54" t="s">
        <v>165</v>
      </c>
      <c r="G3" s="51" t="s">
        <v>160</v>
      </c>
      <c r="H3" s="60" t="s">
        <v>166</v>
      </c>
      <c r="I3" s="54" t="s">
        <v>167</v>
      </c>
    </row>
    <row r="4" customFormat="false" ht="35.05" hidden="false" customHeight="false" outlineLevel="0" collapsed="false">
      <c r="A4" s="51" t="s">
        <v>155</v>
      </c>
      <c r="B4" s="58" t="s">
        <v>168</v>
      </c>
      <c r="C4" s="59" t="n">
        <v>1</v>
      </c>
      <c r="D4" s="59" t="s">
        <v>169</v>
      </c>
      <c r="E4" s="60" t="s">
        <v>170</v>
      </c>
      <c r="F4" s="54" t="s">
        <v>159</v>
      </c>
      <c r="G4" s="51" t="s">
        <v>160</v>
      </c>
      <c r="H4" s="60" t="s">
        <v>171</v>
      </c>
      <c r="I4" s="54" t="s">
        <v>172</v>
      </c>
    </row>
    <row r="5" customFormat="false" ht="12.8" hidden="false" customHeight="false" outlineLevel="0" collapsed="false">
      <c r="A5" s="51" t="s">
        <v>155</v>
      </c>
      <c r="B5" s="58" t="s">
        <v>168</v>
      </c>
      <c r="C5" s="59" t="n">
        <v>1</v>
      </c>
      <c r="D5" s="59" t="s">
        <v>169</v>
      </c>
      <c r="E5" s="53" t="s">
        <v>173</v>
      </c>
      <c r="F5" s="54" t="s">
        <v>159</v>
      </c>
      <c r="G5" s="51" t="s">
        <v>160</v>
      </c>
      <c r="H5" s="53" t="s">
        <v>174</v>
      </c>
      <c r="I5" s="53" t="s">
        <v>175</v>
      </c>
    </row>
    <row r="6" customFormat="false" ht="23.85" hidden="false" customHeight="false" outlineLevel="0" collapsed="false">
      <c r="A6" s="51" t="s">
        <v>155</v>
      </c>
      <c r="B6" s="58" t="s">
        <v>176</v>
      </c>
      <c r="C6" s="59" t="n">
        <v>1</v>
      </c>
      <c r="D6" s="59" t="s">
        <v>169</v>
      </c>
      <c r="E6" s="53" t="s">
        <v>177</v>
      </c>
      <c r="F6" s="53" t="s">
        <v>178</v>
      </c>
      <c r="G6" s="51" t="s">
        <v>160</v>
      </c>
      <c r="H6" s="60" t="s">
        <v>179</v>
      </c>
      <c r="I6" s="54" t="s">
        <v>180</v>
      </c>
    </row>
    <row r="7" customFormat="false" ht="23.85" hidden="false" customHeight="false" outlineLevel="0" collapsed="false">
      <c r="A7" s="51" t="s">
        <v>155</v>
      </c>
      <c r="B7" s="58" t="s">
        <v>181</v>
      </c>
      <c r="C7" s="59" t="n">
        <v>1</v>
      </c>
      <c r="D7" s="59" t="s">
        <v>169</v>
      </c>
      <c r="E7" s="53" t="s">
        <v>182</v>
      </c>
      <c r="F7" s="54" t="s">
        <v>183</v>
      </c>
      <c r="G7" s="51" t="s">
        <v>160</v>
      </c>
      <c r="H7" s="60" t="s">
        <v>184</v>
      </c>
      <c r="I7" s="54" t="s">
        <v>185</v>
      </c>
    </row>
    <row r="8" customFormat="false" ht="12.8" hidden="false" customHeight="false" outlineLevel="0" collapsed="false">
      <c r="A8" s="51" t="s">
        <v>155</v>
      </c>
      <c r="B8" s="58" t="s">
        <v>186</v>
      </c>
      <c r="C8" s="59" t="n">
        <v>1</v>
      </c>
      <c r="D8" s="52" t="s">
        <v>169</v>
      </c>
      <c r="E8" s="53" t="s">
        <v>187</v>
      </c>
      <c r="F8" s="54" t="s">
        <v>188</v>
      </c>
      <c r="G8" s="51" t="s">
        <v>160</v>
      </c>
      <c r="H8" s="53" t="s">
        <v>189</v>
      </c>
      <c r="I8" s="61" t="s">
        <v>190</v>
      </c>
    </row>
    <row r="9" customFormat="false" ht="23.85" hidden="false" customHeight="false" outlineLevel="0" collapsed="false">
      <c r="A9" s="51" t="s">
        <v>155</v>
      </c>
      <c r="B9" s="58" t="s">
        <v>191</v>
      </c>
      <c r="C9" s="59" t="n">
        <v>6</v>
      </c>
      <c r="D9" s="52" t="s">
        <v>169</v>
      </c>
      <c r="E9" s="62" t="s">
        <v>192</v>
      </c>
      <c r="F9" s="54" t="s">
        <v>188</v>
      </c>
      <c r="G9" s="51" t="s">
        <v>160</v>
      </c>
      <c r="H9" s="60" t="s">
        <v>193</v>
      </c>
      <c r="I9" s="55" t="s">
        <v>194</v>
      </c>
    </row>
    <row r="10" customFormat="false" ht="12.8" hidden="false" customHeight="false" outlineLevel="0" collapsed="false">
      <c r="A10" s="51" t="s">
        <v>155</v>
      </c>
      <c r="B10" s="58" t="s">
        <v>195</v>
      </c>
      <c r="C10" s="59" t="n">
        <v>2</v>
      </c>
      <c r="D10" s="52" t="s">
        <v>169</v>
      </c>
      <c r="E10" s="62" t="s">
        <v>196</v>
      </c>
      <c r="F10" s="54" t="s">
        <v>188</v>
      </c>
      <c r="G10" s="51" t="s">
        <v>160</v>
      </c>
      <c r="H10" s="53" t="s">
        <v>197</v>
      </c>
      <c r="I10" s="53" t="s">
        <v>198</v>
      </c>
    </row>
    <row r="11" customFormat="false" ht="12.8" hidden="false" customHeight="false" outlineLevel="0" collapsed="false">
      <c r="A11" s="51" t="s">
        <v>155</v>
      </c>
      <c r="B11" s="58" t="s">
        <v>199</v>
      </c>
      <c r="C11" s="59" t="n">
        <v>2</v>
      </c>
      <c r="D11" s="52" t="s">
        <v>169</v>
      </c>
      <c r="E11" s="53" t="s">
        <v>200</v>
      </c>
      <c r="F11" s="54" t="s">
        <v>201</v>
      </c>
      <c r="G11" s="51" t="s">
        <v>160</v>
      </c>
      <c r="H11" s="63" t="s">
        <v>202</v>
      </c>
      <c r="I11" s="54" t="s">
        <v>203</v>
      </c>
    </row>
    <row r="12" customFormat="false" ht="12.8" hidden="false" customHeight="false" outlineLevel="0" collapsed="false">
      <c r="A12" s="51" t="s">
        <v>155</v>
      </c>
      <c r="B12" s="58" t="s">
        <v>204</v>
      </c>
      <c r="C12" s="59" t="n">
        <v>2</v>
      </c>
      <c r="D12" s="52" t="s">
        <v>169</v>
      </c>
      <c r="E12" s="53" t="s">
        <v>205</v>
      </c>
      <c r="F12" s="54" t="s">
        <v>188</v>
      </c>
      <c r="G12" s="51" t="s">
        <v>160</v>
      </c>
      <c r="H12" s="63" t="s">
        <v>206</v>
      </c>
      <c r="I12" s="54" t="s">
        <v>207</v>
      </c>
    </row>
    <row r="13" customFormat="false" ht="12.8" hidden="false" customHeight="false" outlineLevel="0" collapsed="false">
      <c r="A13" s="51" t="s">
        <v>155</v>
      </c>
      <c r="B13" s="58" t="s">
        <v>208</v>
      </c>
      <c r="C13" s="59" t="n">
        <v>2</v>
      </c>
      <c r="D13" s="52" t="s">
        <v>169</v>
      </c>
      <c r="E13" s="62" t="s">
        <v>209</v>
      </c>
      <c r="F13" s="54" t="s">
        <v>188</v>
      </c>
      <c r="G13" s="51" t="s">
        <v>160</v>
      </c>
      <c r="H13" s="53" t="s">
        <v>210</v>
      </c>
      <c r="I13" s="53" t="s">
        <v>211</v>
      </c>
    </row>
    <row r="14" customFormat="false" ht="23.85" hidden="false" customHeight="false" outlineLevel="0" collapsed="false">
      <c r="A14" s="51" t="s">
        <v>155</v>
      </c>
      <c r="B14" s="58" t="s">
        <v>212</v>
      </c>
      <c r="C14" s="59" t="n">
        <v>1</v>
      </c>
      <c r="D14" s="52" t="s">
        <v>157</v>
      </c>
      <c r="E14" s="53" t="n">
        <v>47</v>
      </c>
      <c r="F14" s="54" t="s">
        <v>188</v>
      </c>
      <c r="G14" s="51" t="s">
        <v>160</v>
      </c>
      <c r="H14" s="55" t="s">
        <v>213</v>
      </c>
      <c r="I14" s="55" t="s">
        <v>214</v>
      </c>
    </row>
    <row r="15" customFormat="false" ht="23.85" hidden="false" customHeight="false" outlineLevel="0" collapsed="false">
      <c r="A15" s="51" t="s">
        <v>155</v>
      </c>
      <c r="B15" s="58" t="s">
        <v>215</v>
      </c>
      <c r="C15" s="59" t="n">
        <v>1</v>
      </c>
      <c r="D15" s="52" t="s">
        <v>157</v>
      </c>
      <c r="E15" s="53" t="s">
        <v>216</v>
      </c>
      <c r="F15" s="54" t="s">
        <v>188</v>
      </c>
      <c r="G15" s="51" t="s">
        <v>160</v>
      </c>
      <c r="H15" s="55" t="s">
        <v>217</v>
      </c>
      <c r="I15" s="54" t="s">
        <v>218</v>
      </c>
    </row>
    <row r="16" customFormat="false" ht="23.85" hidden="false" customHeight="false" outlineLevel="0" collapsed="false">
      <c r="A16" s="51" t="s">
        <v>155</v>
      </c>
      <c r="B16" s="58" t="s">
        <v>219</v>
      </c>
      <c r="C16" s="59" t="n">
        <v>1</v>
      </c>
      <c r="D16" s="52" t="s">
        <v>157</v>
      </c>
      <c r="E16" s="53" t="s">
        <v>220</v>
      </c>
      <c r="F16" s="54" t="s">
        <v>188</v>
      </c>
      <c r="G16" s="51" t="s">
        <v>160</v>
      </c>
      <c r="H16" s="53" t="s">
        <v>221</v>
      </c>
      <c r="I16" s="53" t="s">
        <v>222</v>
      </c>
    </row>
    <row r="17" customFormat="false" ht="23.85" hidden="false" customHeight="false" outlineLevel="0" collapsed="false">
      <c r="A17" s="51" t="s">
        <v>155</v>
      </c>
      <c r="B17" s="58" t="s">
        <v>223</v>
      </c>
      <c r="C17" s="59" t="n">
        <v>1</v>
      </c>
      <c r="D17" s="52" t="s">
        <v>169</v>
      </c>
      <c r="E17" s="53" t="s">
        <v>224</v>
      </c>
      <c r="F17" s="54" t="s">
        <v>225</v>
      </c>
      <c r="G17" s="51" t="s">
        <v>160</v>
      </c>
      <c r="H17" s="60" t="s">
        <v>226</v>
      </c>
      <c r="I17" s="54" t="s">
        <v>227</v>
      </c>
    </row>
    <row r="18" customFormat="false" ht="23.85" hidden="false" customHeight="false" outlineLevel="0" collapsed="false">
      <c r="A18" s="51" t="s">
        <v>155</v>
      </c>
      <c r="B18" s="58" t="s">
        <v>228</v>
      </c>
      <c r="C18" s="59" t="n">
        <v>1</v>
      </c>
      <c r="D18" s="52" t="s">
        <v>169</v>
      </c>
      <c r="E18" s="53" t="s">
        <v>229</v>
      </c>
      <c r="F18" s="54" t="s">
        <v>230</v>
      </c>
      <c r="G18" s="51" t="s">
        <v>160</v>
      </c>
      <c r="H18" s="53" t="s">
        <v>231</v>
      </c>
      <c r="I18" s="53" t="s">
        <v>232</v>
      </c>
    </row>
    <row r="19" customFormat="false" ht="12.8" hidden="false" customHeight="false" outlineLevel="0" collapsed="false">
      <c r="A19" s="51" t="s">
        <v>155</v>
      </c>
      <c r="B19" s="58" t="s">
        <v>233</v>
      </c>
      <c r="C19" s="59" t="n">
        <v>2</v>
      </c>
      <c r="D19" s="52" t="s">
        <v>169</v>
      </c>
      <c r="E19" s="62" t="s">
        <v>234</v>
      </c>
      <c r="F19" s="54" t="s">
        <v>235</v>
      </c>
      <c r="G19" s="51" t="s">
        <v>160</v>
      </c>
      <c r="H19" s="53" t="s">
        <v>236</v>
      </c>
      <c r="I19" s="53" t="s">
        <v>237</v>
      </c>
    </row>
    <row r="20" customFormat="false" ht="12.8" hidden="false" customHeight="false" outlineLevel="0" collapsed="false">
      <c r="A20" s="51" t="s">
        <v>155</v>
      </c>
      <c r="B20" s="58" t="s">
        <v>163</v>
      </c>
      <c r="C20" s="59" t="n">
        <v>1</v>
      </c>
      <c r="D20" s="52" t="s">
        <v>169</v>
      </c>
      <c r="E20" s="53" t="s">
        <v>238</v>
      </c>
      <c r="F20" s="54" t="s">
        <v>239</v>
      </c>
      <c r="G20" s="51" t="s">
        <v>239</v>
      </c>
      <c r="H20" s="63" t="s">
        <v>239</v>
      </c>
      <c r="I20" s="54" t="s">
        <v>240</v>
      </c>
    </row>
    <row r="21" customFormat="false" ht="12.8" hidden="false" customHeight="false" outlineLevel="0" collapsed="false">
      <c r="A21" s="51" t="s">
        <v>155</v>
      </c>
      <c r="B21" s="58" t="s">
        <v>239</v>
      </c>
      <c r="C21" s="59" t="n">
        <v>1</v>
      </c>
      <c r="D21" s="52" t="s">
        <v>169</v>
      </c>
      <c r="E21" s="53" t="s">
        <v>241</v>
      </c>
      <c r="F21" s="54" t="s">
        <v>239</v>
      </c>
      <c r="G21" s="51" t="s">
        <v>242</v>
      </c>
      <c r="H21" s="60" t="s">
        <v>243</v>
      </c>
      <c r="I21" s="54" t="s">
        <v>244</v>
      </c>
    </row>
    <row r="22" customFormat="false" ht="12.8" hidden="false" customHeight="false" outlineLevel="0" collapsed="false">
      <c r="B22" s="58"/>
      <c r="C22" s="59"/>
      <c r="H22" s="60"/>
    </row>
    <row r="23" customFormat="false" ht="12.8" hidden="false" customHeight="false" outlineLevel="0" collapsed="false">
      <c r="B23" s="58"/>
      <c r="C23" s="59"/>
      <c r="H23" s="60"/>
    </row>
    <row r="24" customFormat="false" ht="12.8" hidden="false" customHeight="false" outlineLevel="0" collapsed="false">
      <c r="B24" s="58"/>
      <c r="C24" s="59"/>
      <c r="E24" s="60"/>
      <c r="H24" s="60"/>
    </row>
    <row r="25" customFormat="false" ht="12.8" hidden="false" customHeight="false" outlineLevel="0" collapsed="false">
      <c r="B25" s="58"/>
      <c r="C25" s="59"/>
      <c r="H25" s="60"/>
    </row>
    <row r="26" customFormat="false" ht="12.8" hidden="false" customHeight="false" outlineLevel="0" collapsed="false">
      <c r="B26" s="58"/>
      <c r="C26" s="59"/>
      <c r="F26" s="53"/>
      <c r="H26" s="53"/>
      <c r="I26" s="53"/>
    </row>
    <row r="27" customFormat="false" ht="12.8" hidden="false" customHeight="false" outlineLevel="0" collapsed="false">
      <c r="B27" s="58"/>
      <c r="C27" s="59"/>
      <c r="H27" s="53"/>
      <c r="I27" s="53"/>
    </row>
    <row r="28" customFormat="false" ht="12.8" hidden="false" customHeight="false" outlineLevel="0" collapsed="false">
      <c r="B28" s="58"/>
      <c r="C28" s="59"/>
      <c r="H28" s="60"/>
    </row>
    <row r="29" customFormat="false" ht="12.8" hidden="false" customHeight="false" outlineLevel="0" collapsed="false">
      <c r="B29" s="58"/>
      <c r="C29" s="59"/>
      <c r="I29" s="61"/>
    </row>
    <row r="30" customFormat="false" ht="12.8" hidden="false" customHeight="false" outlineLevel="0" collapsed="false">
      <c r="B30" s="58"/>
      <c r="C30" s="59"/>
      <c r="E30" s="62"/>
      <c r="H30" s="60"/>
      <c r="I30" s="61"/>
    </row>
    <row r="31" customFormat="false" ht="12.8" hidden="false" customHeight="false" outlineLevel="0" collapsed="false">
      <c r="B31" s="58"/>
      <c r="C31" s="59"/>
      <c r="F31" s="53"/>
      <c r="H31" s="53"/>
      <c r="I31" s="53"/>
    </row>
    <row r="32" customFormat="false" ht="12.8" hidden="false" customHeight="false" outlineLevel="0" collapsed="false">
      <c r="B32" s="58"/>
      <c r="C32" s="59"/>
      <c r="H32" s="53"/>
      <c r="I32" s="53"/>
    </row>
    <row r="33" customFormat="false" ht="12.8" hidden="false" customHeight="false" outlineLevel="0" collapsed="false">
      <c r="B33" s="58"/>
      <c r="C33" s="59"/>
      <c r="H33" s="60"/>
    </row>
    <row r="34" customFormat="false" ht="12.8" hidden="false" customHeight="false" outlineLevel="0" collapsed="false">
      <c r="B34" s="58"/>
      <c r="C34" s="59"/>
      <c r="H34" s="60"/>
    </row>
    <row r="35" customFormat="false" ht="12.8" hidden="false" customHeight="false" outlineLevel="0" collapsed="false">
      <c r="B35" s="58"/>
      <c r="C35" s="59"/>
      <c r="H35" s="60"/>
    </row>
    <row r="36" customFormat="false" ht="12.8" hidden="false" customHeight="false" outlineLevel="0" collapsed="false">
      <c r="B36" s="58"/>
      <c r="C36" s="59"/>
      <c r="H36" s="60"/>
    </row>
    <row r="37" customFormat="false" ht="12.8" hidden="false" customHeight="false" outlineLevel="0" collapsed="false">
      <c r="B37" s="58"/>
      <c r="C37" s="59"/>
      <c r="H37" s="60"/>
    </row>
    <row r="38" customFormat="false" ht="12.8" hidden="false" customHeight="false" outlineLevel="0" collapsed="false">
      <c r="B38" s="58"/>
      <c r="C38" s="59"/>
      <c r="H38" s="60"/>
    </row>
    <row r="39" customFormat="false" ht="12.8" hidden="false" customHeight="false" outlineLevel="0" collapsed="false">
      <c r="B39" s="58"/>
      <c r="C39" s="59"/>
      <c r="H39" s="60"/>
    </row>
    <row r="40" customFormat="false" ht="12.8" hidden="false" customHeight="false" outlineLevel="0" collapsed="false">
      <c r="B40" s="58"/>
      <c r="C40" s="59"/>
      <c r="H40" s="60"/>
    </row>
    <row r="41" customFormat="false" ht="12.8" hidden="false" customHeight="false" outlineLevel="0" collapsed="false">
      <c r="B41" s="58"/>
      <c r="C41" s="59"/>
      <c r="H41" s="60"/>
    </row>
    <row r="42" customFormat="false" ht="12.8" hidden="false" customHeight="false" outlineLevel="0" collapsed="false">
      <c r="B42" s="58"/>
      <c r="C42" s="59"/>
      <c r="H42" s="60"/>
    </row>
    <row r="43" customFormat="false" ht="12.8" hidden="false" customHeight="false" outlineLevel="0" collapsed="false">
      <c r="B43" s="64"/>
      <c r="C43" s="59"/>
      <c r="H43" s="64"/>
      <c r="I43" s="64"/>
    </row>
    <row r="44" customFormat="false" ht="12.8" hidden="false" customHeight="false" outlineLevel="0" collapsed="false">
      <c r="B44" s="64"/>
      <c r="C44" s="59"/>
      <c r="F44" s="64"/>
      <c r="H44" s="64"/>
      <c r="I44" s="64"/>
    </row>
    <row r="45" customFormat="false" ht="12.8" hidden="false" customHeight="false" outlineLevel="0" collapsed="false">
      <c r="B45" s="64"/>
      <c r="C45" s="59"/>
      <c r="H45" s="64"/>
      <c r="I45" s="64"/>
    </row>
    <row r="46" customFormat="false" ht="12.8" hidden="false" customHeight="false" outlineLevel="0" collapsed="false">
      <c r="B46" s="64"/>
      <c r="C46" s="64"/>
      <c r="D46" s="64"/>
      <c r="E46" s="64"/>
      <c r="F46" s="64"/>
      <c r="G46" s="64"/>
      <c r="H46" s="64"/>
      <c r="I46" s="64"/>
    </row>
    <row r="47" customFormat="false" ht="12.8" hidden="false" customHeight="false" outlineLevel="0" collapsed="false">
      <c r="B47" s="58"/>
      <c r="C47" s="59"/>
      <c r="H47" s="60"/>
    </row>
    <row r="48" customFormat="false" ht="12.8" hidden="false" customHeight="false" outlineLevel="0" collapsed="false">
      <c r="B48" s="58"/>
      <c r="C48" s="59"/>
      <c r="F48" s="53"/>
      <c r="H48" s="60"/>
    </row>
    <row r="49" customFormat="false" ht="12.8" hidden="false" customHeight="false" outlineLevel="0" collapsed="false">
      <c r="B49" s="58"/>
      <c r="C49" s="59"/>
      <c r="F49" s="53"/>
      <c r="H49" s="60"/>
    </row>
    <row r="50" customFormat="false" ht="12.8" hidden="false" customHeight="false" outlineLevel="0" collapsed="false">
      <c r="B50" s="58"/>
      <c r="C50" s="59"/>
      <c r="E50" s="65"/>
      <c r="H50" s="65"/>
      <c r="I50" s="66"/>
    </row>
    <row r="51" customFormat="false" ht="12.8" hidden="false" customHeight="false" outlineLevel="0" collapsed="false">
      <c r="B51" s="58"/>
      <c r="C51" s="59"/>
      <c r="D51" s="59"/>
      <c r="H51" s="53"/>
    </row>
    <row r="52" customFormat="false" ht="12.8" hidden="false" customHeight="false" outlineLevel="0" collapsed="false">
      <c r="B52" s="58"/>
      <c r="C52" s="59"/>
      <c r="D52" s="59"/>
      <c r="E52" s="64"/>
      <c r="F52" s="64"/>
      <c r="G52" s="64"/>
      <c r="H52" s="64"/>
      <c r="I52" s="64"/>
    </row>
    <row r="53" customFormat="false" ht="12.8" hidden="false" customHeight="false" outlineLevel="0" collapsed="false">
      <c r="B53" s="58"/>
      <c r="C53" s="59"/>
      <c r="D53" s="59"/>
      <c r="E53" s="64"/>
      <c r="F53" s="64"/>
      <c r="G53" s="64"/>
      <c r="H53" s="64"/>
      <c r="I53" s="64"/>
    </row>
    <row r="54" customFormat="false" ht="12.8" hidden="false" customHeight="false" outlineLevel="0" collapsed="false">
      <c r="C54" s="59"/>
      <c r="D54" s="59"/>
      <c r="E54" s="64"/>
      <c r="F54" s="64"/>
      <c r="G54" s="64"/>
      <c r="H54" s="64"/>
      <c r="I54" s="64"/>
    </row>
    <row r="55" customFormat="false" ht="12.8" hidden="false" customHeight="false" outlineLevel="0" collapsed="false">
      <c r="C55" s="59"/>
      <c r="D55" s="59"/>
      <c r="H55" s="60"/>
    </row>
    <row r="56" customFormat="false" ht="12.8" hidden="false" customHeight="false" outlineLevel="0" collapsed="false">
      <c r="A56" s="64"/>
      <c r="C56" s="59"/>
      <c r="D56" s="59"/>
      <c r="H56" s="58"/>
      <c r="I56" s="51"/>
    </row>
    <row r="57" customFormat="false" ht="12.8" hidden="false" customHeight="false" outlineLevel="0" collapsed="false">
      <c r="C57" s="59"/>
      <c r="D57" s="59"/>
      <c r="H57" s="63"/>
      <c r="I57" s="63"/>
    </row>
    <row r="58" customFormat="false" ht="12.8" hidden="false" customHeight="false" outlineLevel="0" collapsed="false">
      <c r="B58" s="58"/>
      <c r="C58" s="59"/>
      <c r="D58" s="59"/>
      <c r="E58" s="64"/>
      <c r="F58" s="64"/>
      <c r="G58" s="64"/>
      <c r="H58" s="64"/>
      <c r="I58" s="64"/>
    </row>
    <row r="59" customFormat="false" ht="12.8" hidden="false" customHeight="false" outlineLevel="0" collapsed="false">
      <c r="B59" s="58"/>
      <c r="C59" s="59"/>
      <c r="D59" s="59"/>
      <c r="E59" s="62"/>
      <c r="H59" s="60"/>
      <c r="I59" s="55"/>
    </row>
    <row r="60" customFormat="false" ht="12.8" hidden="false" customHeight="false" outlineLevel="0" collapsed="false">
      <c r="B60" s="58"/>
      <c r="C60" s="59"/>
      <c r="D60" s="59"/>
      <c r="I60" s="55"/>
    </row>
    <row r="61" customFormat="false" ht="12.8" hidden="false" customHeight="false" outlineLevel="0" collapsed="false">
      <c r="B61" s="58"/>
      <c r="C61" s="59"/>
      <c r="D61" s="59"/>
      <c r="F61" s="53"/>
      <c r="H61" s="53"/>
      <c r="I61" s="53"/>
    </row>
    <row r="62" customFormat="false" ht="12.8" hidden="false" customHeight="false" outlineLevel="0" collapsed="false">
      <c r="B62" s="58"/>
      <c r="C62" s="59"/>
      <c r="D62" s="59"/>
      <c r="H62" s="58"/>
      <c r="I62" s="58"/>
    </row>
    <row r="63" customFormat="false" ht="12.8" hidden="false" customHeight="false" outlineLevel="0" collapsed="false">
      <c r="B63" s="58"/>
      <c r="C63" s="59"/>
      <c r="D63" s="59"/>
      <c r="F63" s="53"/>
      <c r="H63" s="53"/>
      <c r="I63" s="53"/>
    </row>
    <row r="64" customFormat="false" ht="12.8" hidden="false" customHeight="false" outlineLevel="0" collapsed="false">
      <c r="B64" s="58"/>
      <c r="C64" s="59"/>
      <c r="D64" s="59"/>
      <c r="H64" s="60"/>
      <c r="I64" s="63"/>
    </row>
    <row r="65" customFormat="false" ht="12.8" hidden="false" customHeight="false" outlineLevel="0" collapsed="false">
      <c r="B65" s="58"/>
      <c r="C65" s="59"/>
      <c r="D65" s="59"/>
      <c r="H65" s="53"/>
      <c r="I65" s="53"/>
    </row>
    <row r="66" customFormat="false" ht="12.8" hidden="false" customHeight="false" outlineLevel="0" collapsed="false">
      <c r="B66" s="58"/>
      <c r="C66" s="59"/>
      <c r="D66" s="59"/>
      <c r="F66" s="53"/>
      <c r="H66" s="62"/>
      <c r="I66" s="62"/>
    </row>
    <row r="67" customFormat="false" ht="12.8" hidden="false" customHeight="false" outlineLevel="0" collapsed="false">
      <c r="B67" s="58"/>
      <c r="C67" s="59"/>
      <c r="D67" s="59"/>
    </row>
    <row r="68" customFormat="false" ht="12.8" hidden="false" customHeight="false" outlineLevel="0" collapsed="false">
      <c r="B68" s="58"/>
      <c r="C68" s="59"/>
      <c r="D68" s="59"/>
    </row>
    <row r="69" customFormat="false" ht="12.8" hidden="false" customHeight="false" outlineLevel="0" collapsed="false">
      <c r="B69" s="58"/>
      <c r="C69" s="59"/>
      <c r="D69" s="59"/>
    </row>
    <row r="70" customFormat="false" ht="12.8" hidden="false" customHeight="false" outlineLevel="0" collapsed="false">
      <c r="B70" s="58"/>
      <c r="C70" s="59"/>
      <c r="D70" s="59"/>
    </row>
    <row r="71" customFormat="false" ht="12.8" hidden="false" customHeight="false" outlineLevel="0" collapsed="false">
      <c r="A71" s="64"/>
      <c r="B71" s="64"/>
      <c r="C71" s="64"/>
      <c r="D71" s="64"/>
      <c r="E71" s="64"/>
      <c r="F71" s="64"/>
      <c r="G71" s="64"/>
      <c r="H71" s="64"/>
      <c r="I71" s="64"/>
    </row>
    <row r="72" customFormat="false" ht="12.8" hidden="false" customHeight="false" outlineLevel="0" collapsed="false">
      <c r="A72" s="64"/>
      <c r="B72" s="64"/>
      <c r="C72" s="64"/>
      <c r="D72" s="64"/>
      <c r="E72" s="64"/>
      <c r="F72" s="64"/>
      <c r="G72" s="64"/>
      <c r="H72" s="64"/>
      <c r="I72" s="64"/>
      <c r="J72" s="59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</row>
    <row r="73" customFormat="false" ht="12.8" hidden="false" customHeight="false" outlineLevel="0" collapsed="false">
      <c r="A73" s="64"/>
      <c r="B73" s="64"/>
      <c r="C73" s="64"/>
      <c r="D73" s="64"/>
      <c r="E73" s="64"/>
      <c r="F73" s="64"/>
      <c r="G73" s="64"/>
      <c r="H73" s="64"/>
      <c r="I73" s="64"/>
    </row>
    <row r="74" customFormat="false" ht="12.8" hidden="false" customHeight="false" outlineLevel="0" collapsed="false">
      <c r="A74" s="64"/>
      <c r="B74" s="64"/>
      <c r="C74" s="64"/>
      <c r="D74" s="64"/>
      <c r="E74" s="64"/>
      <c r="F74" s="64"/>
      <c r="G74" s="64"/>
      <c r="H74" s="64"/>
      <c r="I74" s="64"/>
    </row>
    <row r="75" customFormat="false" ht="12.8" hidden="false" customHeight="false" outlineLevel="0" collapsed="false">
      <c r="A75" s="64"/>
      <c r="B75" s="64"/>
      <c r="C75" s="64"/>
      <c r="D75" s="64"/>
      <c r="E75" s="64"/>
      <c r="F75" s="64"/>
      <c r="G75" s="64"/>
      <c r="H75" s="64"/>
      <c r="I75" s="64"/>
    </row>
    <row r="76" customFormat="false" ht="12.8" hidden="false" customHeight="false" outlineLevel="0" collapsed="false">
      <c r="B76" s="58"/>
      <c r="C76" s="59"/>
      <c r="D76" s="59"/>
      <c r="H76" s="60"/>
    </row>
    <row r="77" customFormat="false" ht="12.8" hidden="false" customHeight="false" outlineLevel="0" collapsed="false">
      <c r="B77" s="58"/>
      <c r="C77" s="59"/>
      <c r="D77" s="59"/>
      <c r="H77" s="60"/>
    </row>
    <row r="78" customFormat="false" ht="12.8" hidden="false" customHeight="false" outlineLevel="0" collapsed="false">
      <c r="B78" s="58"/>
      <c r="C78" s="59"/>
      <c r="D78" s="59"/>
    </row>
    <row r="79" customFormat="false" ht="12.8" hidden="false" customHeight="false" outlineLevel="0" collapsed="false">
      <c r="B79" s="58"/>
      <c r="C79" s="59"/>
      <c r="D79" s="59"/>
      <c r="I79" s="58"/>
    </row>
    <row r="80" customFormat="false" ht="12.8" hidden="false" customHeight="false" outlineLevel="0" collapsed="false">
      <c r="B80" s="58"/>
      <c r="C80" s="59"/>
      <c r="D80" s="59"/>
      <c r="H80" s="60"/>
      <c r="I80" s="51"/>
    </row>
    <row r="81" customFormat="false" ht="12.8" hidden="false" customHeight="false" outlineLevel="0" collapsed="false">
      <c r="B81" s="58"/>
      <c r="C81" s="59"/>
      <c r="D81" s="59"/>
      <c r="H81" s="60"/>
    </row>
    <row r="82" customFormat="false" ht="12.8" hidden="false" customHeight="false" outlineLevel="0" collapsed="false">
      <c r="B82" s="58"/>
      <c r="C82" s="59"/>
      <c r="D82" s="59"/>
      <c r="H82" s="60"/>
    </row>
    <row r="83" customFormat="false" ht="12.8" hidden="false" customHeight="false" outlineLevel="0" collapsed="false">
      <c r="B83" s="58"/>
      <c r="C83" s="59"/>
      <c r="D83" s="59"/>
    </row>
    <row r="84" customFormat="false" ht="12.8" hidden="false" customHeight="false" outlineLevel="0" collapsed="false">
      <c r="B84" s="58"/>
      <c r="C84" s="59"/>
      <c r="D84" s="59"/>
      <c r="H84" s="60"/>
    </row>
    <row r="85" customFormat="false" ht="12.8" hidden="false" customHeight="false" outlineLevel="0" collapsed="false">
      <c r="B85" s="58"/>
      <c r="C85" s="59"/>
      <c r="D85" s="59"/>
    </row>
    <row r="86" customFormat="false" ht="12.8" hidden="false" customHeight="false" outlineLevel="0" collapsed="false">
      <c r="B86" s="58"/>
      <c r="C86" s="59"/>
      <c r="D86" s="59"/>
      <c r="H86" s="60"/>
    </row>
    <row r="87" customFormat="false" ht="12.8" hidden="false" customHeight="false" outlineLevel="0" collapsed="false">
      <c r="B87" s="58"/>
      <c r="C87" s="59"/>
      <c r="D87" s="59"/>
    </row>
    <row r="88" customFormat="false" ht="12.8" hidden="false" customHeight="false" outlineLevel="0" collapsed="false">
      <c r="B88" s="58"/>
      <c r="C88" s="59"/>
      <c r="D88" s="59"/>
    </row>
    <row r="89" customFormat="false" ht="12.8" hidden="false" customHeight="false" outlineLevel="0" collapsed="false">
      <c r="B89" s="58"/>
      <c r="C89" s="59"/>
      <c r="D89" s="59"/>
    </row>
    <row r="90" customFormat="false" ht="12.8" hidden="false" customHeight="false" outlineLevel="0" collapsed="false">
      <c r="B90" s="58"/>
      <c r="C90" s="59"/>
      <c r="D90" s="59"/>
    </row>
    <row r="91" customFormat="false" ht="12.8" hidden="false" customHeight="false" outlineLevel="0" collapsed="false">
      <c r="B91" s="58"/>
      <c r="C91" s="59"/>
      <c r="D91" s="59"/>
    </row>
    <row r="92" customFormat="false" ht="12.8" hidden="false" customHeight="false" outlineLevel="0" collapsed="false">
      <c r="B92" s="58"/>
      <c r="C92" s="59"/>
      <c r="D92" s="59"/>
    </row>
  </sheetData>
  <autoFilter ref="A1:I95"/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3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3.82"/>
    <col collapsed="false" customWidth="true" hidden="false" outlineLevel="0" max="3" min="2" style="0" width="8.58"/>
    <col collapsed="false" customWidth="true" hidden="false" outlineLevel="0" max="4" min="4" style="0" width="6.42"/>
    <col collapsed="false" customWidth="true" hidden="false" outlineLevel="0" max="5" min="5" style="0" width="10.12"/>
    <col collapsed="false" customWidth="true" hidden="false" outlineLevel="0" max="6" min="6" style="0" width="11.2"/>
    <col collapsed="false" customWidth="true" hidden="false" outlineLevel="0" max="7" min="7" style="0" width="8.42"/>
    <col collapsed="false" customWidth="true" hidden="false" outlineLevel="0" max="8" min="8" style="0" width="12.74"/>
    <col collapsed="false" customWidth="true" hidden="false" outlineLevel="0" max="11" min="9" style="0" width="10.12"/>
    <col collapsed="false" customWidth="true" hidden="false" outlineLevel="0" max="12" min="12" style="0" width="9.05"/>
    <col collapsed="false" customWidth="true" hidden="false" outlineLevel="0" max="13" min="13" style="0" width="4.93"/>
    <col collapsed="false" customWidth="true" hidden="false" outlineLevel="0" max="14" min="14" style="0" width="24.33"/>
    <col collapsed="false" customWidth="true" hidden="false" outlineLevel="0" max="15" min="15" style="0" width="10.12"/>
    <col collapsed="false" customWidth="true" hidden="false" outlineLevel="0" max="16" min="16" style="0" width="4.02"/>
    <col collapsed="false" customWidth="true" hidden="false" outlineLevel="0" max="17" min="17" style="0" width="10.89"/>
    <col collapsed="false" customWidth="true" hidden="false" outlineLevel="0" max="18" min="18" style="0" width="12.74"/>
    <col collapsed="false" customWidth="true" hidden="false" outlineLevel="0" max="19" min="19" style="0" width="4.02"/>
  </cols>
  <sheetData>
    <row r="1" customFormat="false" ht="12.8" hidden="false" customHeight="false" outlineLevel="0" collapsed="false">
      <c r="C1" s="67" t="s">
        <v>245</v>
      </c>
      <c r="D1" s="67" t="s">
        <v>246</v>
      </c>
      <c r="E1" s="67" t="s">
        <v>247</v>
      </c>
      <c r="F1" s="67" t="s">
        <v>248</v>
      </c>
      <c r="G1" s="67" t="s">
        <v>249</v>
      </c>
      <c r="H1" s="67" t="s">
        <v>250</v>
      </c>
      <c r="I1" s="67" t="s">
        <v>251</v>
      </c>
      <c r="J1" s="67" t="s">
        <v>252</v>
      </c>
      <c r="K1" s="68" t="s">
        <v>253</v>
      </c>
      <c r="L1" s="67" t="s">
        <v>254</v>
      </c>
      <c r="N1" s="69" t="s">
        <v>255</v>
      </c>
      <c r="O1" s="69"/>
      <c r="Q1" s="67" t="s">
        <v>256</v>
      </c>
      <c r="R1" s="67" t="s">
        <v>250</v>
      </c>
      <c r="T1" s="67" t="s">
        <v>257</v>
      </c>
      <c r="U1" s="67" t="s">
        <v>250</v>
      </c>
    </row>
    <row r="2" customFormat="false" ht="12.8" hidden="false" customHeight="false" outlineLevel="0" collapsed="false">
      <c r="A2" s="8" t="s">
        <v>258</v>
      </c>
      <c r="B2" s="18" t="n">
        <v>1013.25</v>
      </c>
      <c r="C2" s="24" t="n">
        <v>1013.25</v>
      </c>
      <c r="D2" s="24" t="n">
        <f aca="false">C2/33.864</f>
        <v>29.9211552090716</v>
      </c>
      <c r="E2" s="70" t="n">
        <f aca="false">LN(C2/$B$2)/-0.00012</f>
        <v>-0</v>
      </c>
      <c r="F2" s="0" t="n">
        <v>0</v>
      </c>
      <c r="I2" s="70"/>
      <c r="J2" s="71" t="n">
        <f aca="false">E2*3.281</f>
        <v>-0</v>
      </c>
      <c r="K2" s="0" t="n">
        <v>0</v>
      </c>
      <c r="L2" s="72" t="n">
        <v>0</v>
      </c>
      <c r="N2" s="73" t="s">
        <v>259</v>
      </c>
      <c r="O2" s="74" t="n">
        <v>793.43</v>
      </c>
      <c r="Q2" s="0" t="n">
        <v>2</v>
      </c>
      <c r="R2" s="75" t="n">
        <v>24.56</v>
      </c>
      <c r="T2" s="0" t="n">
        <v>0</v>
      </c>
      <c r="U2" s="75" t="n">
        <v>8.37</v>
      </c>
    </row>
    <row r="3" customFormat="false" ht="12.8" hidden="false" customHeight="false" outlineLevel="0" collapsed="false">
      <c r="A3" s="8" t="s">
        <v>260</v>
      </c>
      <c r="B3" s="18" t="n">
        <v>34</v>
      </c>
      <c r="C3" s="24" t="n">
        <f aca="false">C2-$B$3</f>
        <v>979.25</v>
      </c>
      <c r="D3" s="24" t="n">
        <f aca="false">C3/33.864</f>
        <v>28.9171391448146</v>
      </c>
      <c r="E3" s="76" t="n">
        <f aca="false">LN(C3/$B$2)/-0.00012</f>
        <v>284.427441353977</v>
      </c>
      <c r="F3" s="75" t="n">
        <f aca="false">E3-E2</f>
        <v>284.427441353977</v>
      </c>
      <c r="G3" s="75" t="n">
        <f aca="false">ROUND(F3/$B$3,2)</f>
        <v>8.37</v>
      </c>
      <c r="H3" s="75" t="n">
        <f aca="false">ROUND(AVERAGE($G$3:G3),2)</f>
        <v>8.37</v>
      </c>
      <c r="I3" s="76" t="n">
        <f aca="false">($B$2-C3)*H3</f>
        <v>284.58</v>
      </c>
      <c r="J3" s="77" t="n">
        <f aca="false">E3*3.281</f>
        <v>933.2064350824</v>
      </c>
      <c r="K3" s="75" t="n">
        <f aca="false">J3-J2</f>
        <v>933.2064350824</v>
      </c>
      <c r="L3" s="72" t="n">
        <f aca="false">ROUND(I3*3.281,2)</f>
        <v>933.71</v>
      </c>
      <c r="N3" s="73" t="s">
        <v>261</v>
      </c>
      <c r="O3" s="74" t="n">
        <v>1013.25</v>
      </c>
      <c r="Q3" s="0" t="n">
        <v>6</v>
      </c>
      <c r="R3" s="75" t="n">
        <v>21.46</v>
      </c>
      <c r="T3" s="0" t="n">
        <v>0</v>
      </c>
      <c r="U3" s="75" t="n">
        <v>8.37</v>
      </c>
    </row>
    <row r="4" customFormat="false" ht="12.8" hidden="false" customHeight="false" outlineLevel="0" collapsed="false">
      <c r="B4" s="24"/>
      <c r="C4" s="24" t="n">
        <f aca="false">C3-$B$3</f>
        <v>945.25</v>
      </c>
      <c r="D4" s="24" t="n">
        <f aca="false">C4/33.864</f>
        <v>27.9131230805575</v>
      </c>
      <c r="E4" s="76" t="n">
        <f aca="false">LN(C4/$B$2)/-0.00012</f>
        <v>578.906856144797</v>
      </c>
      <c r="F4" s="75" t="n">
        <f aca="false">E4-E3</f>
        <v>294.47941479082</v>
      </c>
      <c r="G4" s="75" t="n">
        <f aca="false">ROUND(F4/$B$3,2)</f>
        <v>8.66</v>
      </c>
      <c r="H4" s="75" t="n">
        <f aca="false">ROUND(AVERAGE($G$3:G4),2)</f>
        <v>8.52</v>
      </c>
      <c r="I4" s="76" t="n">
        <f aca="false">($B$2-C4)*H4</f>
        <v>579.36</v>
      </c>
      <c r="J4" s="77" t="n">
        <f aca="false">E4*3.281</f>
        <v>1899.39339501108</v>
      </c>
      <c r="K4" s="75" t="n">
        <f aca="false">J4-J3</f>
        <v>966.18695992868</v>
      </c>
      <c r="L4" s="72" t="n">
        <f aca="false">ROUND(I4*3.281,2)</f>
        <v>1900.88</v>
      </c>
      <c r="N4" s="73" t="s">
        <v>262</v>
      </c>
      <c r="O4" s="78" t="n">
        <f aca="false">B2-O3</f>
        <v>0</v>
      </c>
      <c r="Q4" s="0" t="n">
        <v>9</v>
      </c>
      <c r="R4" s="75" t="n">
        <v>19.41</v>
      </c>
      <c r="T4" s="0" t="n">
        <v>2</v>
      </c>
      <c r="U4" s="75" t="n">
        <v>8.37</v>
      </c>
    </row>
    <row r="5" customFormat="false" ht="12.8" hidden="false" customHeight="false" outlineLevel="0" collapsed="false">
      <c r="B5" s="24"/>
      <c r="C5" s="24" t="n">
        <f aca="false">C4-$B$3</f>
        <v>911.25</v>
      </c>
      <c r="D5" s="24" t="n">
        <f aca="false">C5/33.864</f>
        <v>26.9091070163005</v>
      </c>
      <c r="E5" s="76" t="n">
        <f aca="false">LN(C5/$B$2)/-0.00012</f>
        <v>884.174851546251</v>
      </c>
      <c r="F5" s="75" t="n">
        <f aca="false">E5-E4</f>
        <v>305.267995401453</v>
      </c>
      <c r="G5" s="75" t="n">
        <f aca="false">ROUND(F5/$B$3,2)</f>
        <v>8.98</v>
      </c>
      <c r="H5" s="75" t="n">
        <f aca="false">ROUND(AVERAGE($G$3:G5),2)</f>
        <v>8.67</v>
      </c>
      <c r="I5" s="76" t="n">
        <f aca="false">($B$2-C5)*H5</f>
        <v>884.34</v>
      </c>
      <c r="J5" s="77" t="n">
        <f aca="false">E5*3.281</f>
        <v>2900.97768792325</v>
      </c>
      <c r="K5" s="75" t="n">
        <f aca="false">J5-J4</f>
        <v>1001.58429291217</v>
      </c>
      <c r="L5" s="72" t="n">
        <f aca="false">ROUND(I5*3.281,2)</f>
        <v>2901.52</v>
      </c>
      <c r="N5" s="73" t="s">
        <v>263</v>
      </c>
      <c r="O5" s="79" t="n">
        <f aca="false">O2+O4</f>
        <v>793.43</v>
      </c>
      <c r="Q5" s="0" t="n">
        <v>12</v>
      </c>
      <c r="R5" s="75" t="n">
        <v>17.9</v>
      </c>
      <c r="T5" s="0" t="n">
        <v>5</v>
      </c>
      <c r="U5" s="75" t="n">
        <v>8.52</v>
      </c>
    </row>
    <row r="6" customFormat="false" ht="12.8" hidden="false" customHeight="false" outlineLevel="0" collapsed="false">
      <c r="B6" s="24"/>
      <c r="C6" s="24" t="n">
        <f aca="false">C5-$B$3</f>
        <v>877.25</v>
      </c>
      <c r="D6" s="24" t="n">
        <f aca="false">C6/33.864</f>
        <v>25.9050909520435</v>
      </c>
      <c r="E6" s="76" t="n">
        <f aca="false">LN(C6/$B$2)/-0.00012</f>
        <v>1201.05209204244</v>
      </c>
      <c r="F6" s="75" t="n">
        <f aca="false">E6-E5</f>
        <v>316.877240496194</v>
      </c>
      <c r="G6" s="75" t="n">
        <f aca="false">ROUND(F6/$B$3,2)</f>
        <v>9.32</v>
      </c>
      <c r="H6" s="75" t="n">
        <f aca="false">ROUND(AVERAGE($G$3:G6),2)</f>
        <v>8.83</v>
      </c>
      <c r="I6" s="76" t="n">
        <f aca="false">($B$2-C6)*H6</f>
        <v>1200.88</v>
      </c>
      <c r="J6" s="77" t="n">
        <f aca="false">E6*3.281</f>
        <v>3940.65191399126</v>
      </c>
      <c r="K6" s="75" t="n">
        <f aca="false">J6-J5</f>
        <v>1039.67422606801</v>
      </c>
      <c r="L6" s="72" t="n">
        <f aca="false">ROUND(I6*3.281,2)</f>
        <v>3940.09</v>
      </c>
      <c r="N6" s="73" t="s">
        <v>264</v>
      </c>
      <c r="O6" s="78" t="n">
        <f aca="false">B2-O5</f>
        <v>219.82</v>
      </c>
      <c r="Q6" s="0" t="n">
        <v>16</v>
      </c>
      <c r="R6" s="75" t="n">
        <v>16.71</v>
      </c>
      <c r="T6" s="0" t="n">
        <v>8</v>
      </c>
      <c r="U6" s="75" t="n">
        <v>8.67</v>
      </c>
    </row>
    <row r="7" customFormat="false" ht="12.8" hidden="false" customHeight="false" outlineLevel="0" collapsed="false">
      <c r="B7" s="24"/>
      <c r="C7" s="24" t="n">
        <f aca="false">C6-$B$3</f>
        <v>843.25</v>
      </c>
      <c r="D7" s="24" t="n">
        <f aca="false">C7/33.864</f>
        <v>24.9010748877864</v>
      </c>
      <c r="E7" s="76" t="n">
        <f aca="false">LN(C7/$B$2)/-0.00012</f>
        <v>1530.45659638882</v>
      </c>
      <c r="F7" s="75" t="n">
        <f aca="false">E7-E6</f>
        <v>329.404504346374</v>
      </c>
      <c r="G7" s="75" t="n">
        <f aca="false">ROUND(F7/$B$3,2)</f>
        <v>9.69</v>
      </c>
      <c r="H7" s="75" t="n">
        <f aca="false">ROUND(AVERAGE($G$3:G7),2)</f>
        <v>9</v>
      </c>
      <c r="I7" s="76" t="n">
        <f aca="false">($B$2-C7)*H7</f>
        <v>1530</v>
      </c>
      <c r="J7" s="77" t="n">
        <f aca="false">E7*3.281</f>
        <v>5021.42809275172</v>
      </c>
      <c r="K7" s="75" t="n">
        <f aca="false">J7-J6</f>
        <v>1080.77617876045</v>
      </c>
      <c r="L7" s="72" t="n">
        <f aca="false">ROUND(I7*3.281,2)</f>
        <v>5019.93</v>
      </c>
      <c r="N7" s="73" t="s">
        <v>250</v>
      </c>
      <c r="O7" s="78" t="n">
        <f aca="false">VLOOKUP((O5/10),Q2:R31,2,1)</f>
        <v>9.19</v>
      </c>
      <c r="Q7" s="0" t="n">
        <v>19</v>
      </c>
      <c r="R7" s="75" t="n">
        <v>15.74</v>
      </c>
      <c r="T7" s="0" t="n">
        <v>12</v>
      </c>
      <c r="U7" s="75" t="n">
        <v>8.83</v>
      </c>
    </row>
    <row r="8" customFormat="false" ht="12.8" hidden="false" customHeight="false" outlineLevel="0" collapsed="false">
      <c r="B8" s="24"/>
      <c r="C8" s="24" t="n">
        <f aca="false">C7-$B$3</f>
        <v>809.25</v>
      </c>
      <c r="D8" s="24" t="n">
        <f aca="false">C8/33.864</f>
        <v>23.8970588235294</v>
      </c>
      <c r="E8" s="76" t="n">
        <f aca="false">LN(C8/$B$2)/-0.00012</f>
        <v>1873.4197725172</v>
      </c>
      <c r="F8" s="75" t="n">
        <f aca="false">E8-E7</f>
        <v>342.963176128382</v>
      </c>
      <c r="G8" s="75" t="n">
        <f aca="false">ROUND(F8/$B$3,2)</f>
        <v>10.09</v>
      </c>
      <c r="H8" s="75" t="n">
        <f aca="false">ROUND(AVERAGE($G$3:G8),2)</f>
        <v>9.19</v>
      </c>
      <c r="I8" s="76" t="n">
        <f aca="false">($B$2-C8)*H8</f>
        <v>1874.76</v>
      </c>
      <c r="J8" s="77" t="n">
        <f aca="false">E8*3.281</f>
        <v>6146.69027362894</v>
      </c>
      <c r="K8" s="75" t="n">
        <f aca="false">J8-J7</f>
        <v>1125.26218087722</v>
      </c>
      <c r="L8" s="72" t="n">
        <f aca="false">ROUND(I8*3.281,2)</f>
        <v>6151.09</v>
      </c>
      <c r="N8" s="73" t="s">
        <v>265</v>
      </c>
      <c r="O8" s="78" t="n">
        <f aca="false">ROUNDDOWN(O6*O7,2)</f>
        <v>2020.14</v>
      </c>
      <c r="Q8" s="0" t="n">
        <v>23</v>
      </c>
      <c r="R8" s="75" t="n">
        <v>14.93</v>
      </c>
      <c r="T8" s="0" t="n">
        <v>15</v>
      </c>
      <c r="U8" s="75" t="n">
        <v>9</v>
      </c>
    </row>
    <row r="9" customFormat="false" ht="12.8" hidden="false" customHeight="false" outlineLevel="0" collapsed="false">
      <c r="B9" s="24"/>
      <c r="C9" s="24" t="n">
        <f aca="false">C8-$B$3</f>
        <v>775.25</v>
      </c>
      <c r="D9" s="24" t="n">
        <f aca="false">C9/33.864</f>
        <v>22.8930427592724</v>
      </c>
      <c r="E9" s="76" t="n">
        <f aca="false">LN(C9/$B$2)/-0.00012</f>
        <v>2231.1058960655</v>
      </c>
      <c r="F9" s="75" t="n">
        <f aca="false">E9-E8</f>
        <v>357.686123548296</v>
      </c>
      <c r="G9" s="75" t="n">
        <f aca="false">ROUND(F9/$B$3,2)</f>
        <v>10.52</v>
      </c>
      <c r="H9" s="75" t="n">
        <f aca="false">ROUND(AVERAGE($G$3:G9),2)</f>
        <v>9.38</v>
      </c>
      <c r="I9" s="76" t="n">
        <f aca="false">($B$2-C9)*H9</f>
        <v>2232.44</v>
      </c>
      <c r="J9" s="77" t="n">
        <f aca="false">E9*3.281</f>
        <v>7320.2584449909</v>
      </c>
      <c r="K9" s="75" t="n">
        <f aca="false">J9-J8</f>
        <v>1173.56817136196</v>
      </c>
      <c r="L9" s="72" t="n">
        <f aca="false">ROUND(I9*3.281,2)</f>
        <v>7324.64</v>
      </c>
      <c r="N9" s="80" t="s">
        <v>266</v>
      </c>
      <c r="O9" s="81" t="n">
        <f aca="false">O8*3.281</f>
        <v>6628.07934</v>
      </c>
      <c r="Q9" s="0" t="n">
        <v>26</v>
      </c>
      <c r="R9" s="75" t="n">
        <v>14.24</v>
      </c>
      <c r="T9" s="0" t="n">
        <v>18</v>
      </c>
      <c r="U9" s="75" t="n">
        <v>9.19</v>
      </c>
    </row>
    <row r="10" customFormat="false" ht="12.8" hidden="false" customHeight="false" outlineLevel="0" collapsed="false">
      <c r="B10" s="24"/>
      <c r="C10" s="24" t="n">
        <f aca="false">C9-$B$3</f>
        <v>741.25</v>
      </c>
      <c r="D10" s="24" t="n">
        <f aca="false">C10/33.864</f>
        <v>21.8890266950154</v>
      </c>
      <c r="E10" s="76" t="n">
        <f aca="false">LN(C10/$B$2)/-0.00012</f>
        <v>2604.83595997069</v>
      </c>
      <c r="F10" s="75" t="n">
        <f aca="false">E10-E9</f>
        <v>373.730063905192</v>
      </c>
      <c r="G10" s="75" t="n">
        <f aca="false">ROUND(F10/$B$3,2)</f>
        <v>10.99</v>
      </c>
      <c r="H10" s="75" t="n">
        <f aca="false">ROUND(AVERAGE($G$3:G10),2)</f>
        <v>9.58</v>
      </c>
      <c r="I10" s="76" t="n">
        <f aca="false">($B$2-C10)*H10</f>
        <v>2605.76</v>
      </c>
      <c r="J10" s="77" t="n">
        <f aca="false">E10*3.281</f>
        <v>8546.46678466383</v>
      </c>
      <c r="K10" s="75" t="n">
        <f aca="false">J10-J9</f>
        <v>1226.20833967293</v>
      </c>
      <c r="L10" s="72" t="n">
        <f aca="false">ROUND(I10*3.281,2)</f>
        <v>8549.5</v>
      </c>
      <c r="Q10" s="0" t="n">
        <v>29</v>
      </c>
      <c r="R10" s="75" t="n">
        <v>13.63</v>
      </c>
      <c r="T10" s="0" t="n">
        <v>22</v>
      </c>
      <c r="U10" s="75" t="n">
        <v>9.38</v>
      </c>
    </row>
    <row r="11" customFormat="false" ht="12.8" hidden="false" customHeight="false" outlineLevel="0" collapsed="false">
      <c r="B11" s="24"/>
      <c r="C11" s="24" t="n">
        <f aca="false">C10-$B$3</f>
        <v>707.25</v>
      </c>
      <c r="D11" s="24" t="n">
        <f aca="false">C11/33.864</f>
        <v>20.8850106307583</v>
      </c>
      <c r="E11" s="76" t="n">
        <f aca="false">LN(C11/$B$2)/-0.00012</f>
        <v>2996.11712772284</v>
      </c>
      <c r="F11" s="75" t="n">
        <f aca="false">E11-E10</f>
        <v>391.281167752156</v>
      </c>
      <c r="G11" s="75" t="n">
        <f aca="false">ROUND(F11/$B$3,2)</f>
        <v>11.51</v>
      </c>
      <c r="H11" s="75" t="n">
        <f aca="false">ROUND(AVERAGE($G$3:G11),2)</f>
        <v>9.79</v>
      </c>
      <c r="I11" s="76" t="n">
        <f aca="false">($B$2-C11)*H11</f>
        <v>2995.74</v>
      </c>
      <c r="J11" s="77" t="n">
        <f aca="false">E11*3.281</f>
        <v>9830.26029605865</v>
      </c>
      <c r="K11" s="75" t="n">
        <f aca="false">J11-J10</f>
        <v>1283.79351139482</v>
      </c>
      <c r="L11" s="72" t="n">
        <f aca="false">ROUND(I11*3.281,2)</f>
        <v>9829.02</v>
      </c>
      <c r="N11" s="69" t="s">
        <v>267</v>
      </c>
      <c r="O11" s="69"/>
      <c r="Q11" s="0" t="n">
        <v>33</v>
      </c>
      <c r="R11" s="75" t="n">
        <v>13.09</v>
      </c>
      <c r="T11" s="0" t="n">
        <v>26</v>
      </c>
      <c r="U11" s="75" t="n">
        <v>9.58</v>
      </c>
    </row>
    <row r="12" customFormat="false" ht="12.8" hidden="false" customHeight="false" outlineLevel="0" collapsed="false">
      <c r="B12" s="24"/>
      <c r="C12" s="24" t="n">
        <f aca="false">C11-$B$3</f>
        <v>673.25</v>
      </c>
      <c r="D12" s="24" t="n">
        <f aca="false">C12/33.864</f>
        <v>19.8809945665013</v>
      </c>
      <c r="E12" s="76" t="n">
        <f aca="false">LN(C12/$B$2)/-0.00012</f>
        <v>3406.67944847258</v>
      </c>
      <c r="F12" s="75" t="n">
        <f aca="false">E12-E11</f>
        <v>410.562320749735</v>
      </c>
      <c r="G12" s="75" t="n">
        <f aca="false">ROUND(F12/$B$3,2)</f>
        <v>12.08</v>
      </c>
      <c r="H12" s="75" t="n">
        <f aca="false">ROUND(AVERAGE($G$3:G12),2)</f>
        <v>10.02</v>
      </c>
      <c r="I12" s="76" t="n">
        <f aca="false">($B$2-C12)*H12</f>
        <v>3406.8</v>
      </c>
      <c r="J12" s="77" t="n">
        <f aca="false">E12*3.281</f>
        <v>11177.3152704385</v>
      </c>
      <c r="K12" s="75" t="n">
        <f aca="false">J12-J11</f>
        <v>1347.05497437988</v>
      </c>
      <c r="L12" s="72" t="n">
        <f aca="false">ROUND(I12*3.281,2)</f>
        <v>11177.71</v>
      </c>
      <c r="N12" s="82" t="s">
        <v>268</v>
      </c>
      <c r="O12" s="83" t="n">
        <v>6</v>
      </c>
      <c r="Q12" s="0" t="n">
        <v>36</v>
      </c>
      <c r="R12" s="75" t="n">
        <v>12.61</v>
      </c>
      <c r="T12" s="0" t="n">
        <v>29</v>
      </c>
      <c r="U12" s="75" t="n">
        <v>9.79</v>
      </c>
    </row>
    <row r="13" customFormat="false" ht="12.8" hidden="false" customHeight="false" outlineLevel="0" collapsed="false">
      <c r="B13" s="24"/>
      <c r="C13" s="24" t="n">
        <f aca="false">C12-$B$3</f>
        <v>639.25</v>
      </c>
      <c r="D13" s="24" t="n">
        <f aca="false">C13/33.864</f>
        <v>18.8769785022443</v>
      </c>
      <c r="E13" s="76" t="n">
        <f aca="false">LN(C13/$B$2)/-0.00012</f>
        <v>3838.52209447602</v>
      </c>
      <c r="F13" s="75" t="n">
        <f aca="false">E13-E12</f>
        <v>431.842646003437</v>
      </c>
      <c r="G13" s="75" t="n">
        <f aca="false">ROUND(F13/$B$3,2)</f>
        <v>12.7</v>
      </c>
      <c r="H13" s="75" t="n">
        <f aca="false">ROUND(AVERAGE($G$3:G13),2)</f>
        <v>10.26</v>
      </c>
      <c r="I13" s="76" t="n">
        <f aca="false">($B$2-C13)*H13</f>
        <v>3837.24</v>
      </c>
      <c r="J13" s="77" t="n">
        <f aca="false">E13*3.281</f>
        <v>12594.1909919758</v>
      </c>
      <c r="K13" s="75" t="n">
        <f aca="false">J13-J12</f>
        <v>1416.87572153728</v>
      </c>
      <c r="L13" s="72" t="n">
        <f aca="false">ROUND(I13*3.281,2)</f>
        <v>12589.98</v>
      </c>
      <c r="N13" s="82" t="s">
        <v>269</v>
      </c>
      <c r="O13" s="83" t="n">
        <v>34</v>
      </c>
      <c r="Q13" s="0" t="n">
        <v>40</v>
      </c>
      <c r="R13" s="75" t="n">
        <v>12.18</v>
      </c>
      <c r="T13" s="0" t="n">
        <v>34</v>
      </c>
      <c r="U13" s="75" t="n">
        <v>10.02</v>
      </c>
    </row>
    <row r="14" customFormat="false" ht="12.8" hidden="false" customHeight="false" outlineLevel="0" collapsed="false">
      <c r="B14" s="24"/>
      <c r="C14" s="24" t="n">
        <f aca="false">C13-$B$3</f>
        <v>605.25</v>
      </c>
      <c r="D14" s="24" t="n">
        <f aca="false">C14/33.864</f>
        <v>17.8729624379872</v>
      </c>
      <c r="E14" s="76" t="n">
        <f aca="false">LN(C14/$B$2)/-0.00012</f>
        <v>4293.97224741875</v>
      </c>
      <c r="F14" s="75" t="n">
        <f aca="false">E14-E13</f>
        <v>455.450152942734</v>
      </c>
      <c r="G14" s="75" t="n">
        <f aca="false">ROUND(F14/$B$3,2)</f>
        <v>13.4</v>
      </c>
      <c r="H14" s="75" t="n">
        <f aca="false">ROUND(AVERAGE($G$3:G14),2)</f>
        <v>10.53</v>
      </c>
      <c r="I14" s="76" t="n">
        <f aca="false">($B$2-C14)*H14</f>
        <v>4296.24</v>
      </c>
      <c r="J14" s="77" t="n">
        <f aca="false">E14*3.281</f>
        <v>14088.5229437809</v>
      </c>
      <c r="K14" s="75" t="n">
        <f aca="false">J14-J13</f>
        <v>1494.33195180511</v>
      </c>
      <c r="L14" s="72" t="n">
        <f aca="false">ROUND(I14*3.281,2)</f>
        <v>14095.96</v>
      </c>
      <c r="N14" s="82" t="s">
        <v>270</v>
      </c>
      <c r="O14" s="84" t="n">
        <f aca="false">O12-O13</f>
        <v>-28</v>
      </c>
      <c r="Q14" s="0" t="n">
        <v>43</v>
      </c>
      <c r="R14" s="75" t="n">
        <v>11.79</v>
      </c>
      <c r="T14" s="0" t="n">
        <v>38</v>
      </c>
      <c r="U14" s="75" t="n">
        <v>10.26</v>
      </c>
    </row>
    <row r="15" customFormat="false" ht="12.8" hidden="false" customHeight="false" outlineLevel="0" collapsed="false">
      <c r="B15" s="24"/>
      <c r="C15" s="24" t="n">
        <f aca="false">C14-$B$3</f>
        <v>571.25</v>
      </c>
      <c r="D15" s="24" t="n">
        <f aca="false">C15/33.864</f>
        <v>16.8689463737302</v>
      </c>
      <c r="E15" s="76" t="n">
        <f aca="false">LN(C15/$B$2)/-0.00012</f>
        <v>4775.76102750003</v>
      </c>
      <c r="F15" s="75" t="n">
        <f aca="false">E15-E14</f>
        <v>481.788780081278</v>
      </c>
      <c r="G15" s="75" t="n">
        <f aca="false">ROUND(F15/$B$3,2)</f>
        <v>14.17</v>
      </c>
      <c r="H15" s="75" t="n">
        <f aca="false">ROUND(AVERAGE($G$3:G15),2)</f>
        <v>10.81</v>
      </c>
      <c r="I15" s="76" t="n">
        <f aca="false">($B$2-C15)*H15</f>
        <v>4778.02</v>
      </c>
      <c r="J15" s="77" t="n">
        <f aca="false">E15*3.281</f>
        <v>15669.2719312276</v>
      </c>
      <c r="K15" s="75" t="n">
        <f aca="false">J15-J14</f>
        <v>1580.74898744667</v>
      </c>
      <c r="L15" s="72" t="n">
        <f aca="false">ROUND(I15*3.281,2)</f>
        <v>15676.68</v>
      </c>
      <c r="N15" s="82" t="s">
        <v>250</v>
      </c>
      <c r="O15" s="84" t="n">
        <f aca="false">VLOOKUP((O13/100),T2:U31,2,1)</f>
        <v>8.37</v>
      </c>
      <c r="Q15" s="0" t="n">
        <v>46</v>
      </c>
      <c r="R15" s="75" t="n">
        <v>11.44</v>
      </c>
      <c r="T15" s="0" t="n">
        <v>42</v>
      </c>
      <c r="U15" s="75" t="n">
        <v>10.53</v>
      </c>
    </row>
    <row r="16" customFormat="false" ht="12.8" hidden="false" customHeight="false" outlineLevel="0" collapsed="false">
      <c r="B16" s="24"/>
      <c r="C16" s="24" t="n">
        <f aca="false">C15-$B$3</f>
        <v>537.25</v>
      </c>
      <c r="D16" s="24" t="n">
        <f aca="false">C16/33.864</f>
        <v>15.8649303094732</v>
      </c>
      <c r="E16" s="76" t="n">
        <f aca="false">LN(C16/$B$2)/-0.00012</f>
        <v>5287.12274988165</v>
      </c>
      <c r="F16" s="75" t="n">
        <f aca="false">E16-E15</f>
        <v>511.361722381623</v>
      </c>
      <c r="G16" s="75" t="n">
        <f aca="false">ROUND(F16/$B$3,2)</f>
        <v>15.04</v>
      </c>
      <c r="H16" s="75" t="n">
        <f aca="false">ROUND(AVERAGE($G$3:G16),2)</f>
        <v>11.11</v>
      </c>
      <c r="I16" s="76" t="n">
        <f aca="false">($B$2-C16)*H16</f>
        <v>5288.36</v>
      </c>
      <c r="J16" s="77" t="n">
        <f aca="false">E16*3.281</f>
        <v>17347.0497423617</v>
      </c>
      <c r="K16" s="75" t="n">
        <f aca="false">J16-J15</f>
        <v>1677.7778111341</v>
      </c>
      <c r="L16" s="72" t="n">
        <f aca="false">ROUND(I16*3.281,2)</f>
        <v>17351.11</v>
      </c>
      <c r="N16" s="82" t="s">
        <v>271</v>
      </c>
      <c r="O16" s="84" t="n">
        <f aca="false">ROUNDDOWN(O14/O15,2)</f>
        <v>-3.34</v>
      </c>
      <c r="Q16" s="0" t="n">
        <v>50</v>
      </c>
      <c r="R16" s="75" t="n">
        <v>11.11</v>
      </c>
      <c r="T16" s="0" t="n">
        <v>47</v>
      </c>
      <c r="U16" s="75" t="n">
        <v>10.81</v>
      </c>
    </row>
    <row r="17" customFormat="false" ht="12.8" hidden="false" customHeight="false" outlineLevel="0" collapsed="false">
      <c r="B17" s="24"/>
      <c r="C17" s="24" t="n">
        <f aca="false">C16-$B$3</f>
        <v>503.25</v>
      </c>
      <c r="D17" s="24" t="n">
        <f aca="false">C17/33.864</f>
        <v>14.8609142452162</v>
      </c>
      <c r="E17" s="76" t="n">
        <f aca="false">LN(C17/$B$2)/-0.00012</f>
        <v>5831.92667490431</v>
      </c>
      <c r="F17" s="75" t="n">
        <f aca="false">E17-E16</f>
        <v>544.803925022658</v>
      </c>
      <c r="G17" s="75" t="n">
        <f aca="false">ROUND(F17/$B$3,2)</f>
        <v>16.02</v>
      </c>
      <c r="H17" s="75" t="n">
        <f aca="false">ROUND(AVERAGE($G$3:G17),2)</f>
        <v>11.44</v>
      </c>
      <c r="I17" s="76" t="n">
        <f aca="false">($B$2-C17)*H17</f>
        <v>5834.4</v>
      </c>
      <c r="J17" s="77" t="n">
        <f aca="false">E17*3.281</f>
        <v>19134.551420361</v>
      </c>
      <c r="K17" s="75" t="n">
        <f aca="false">J17-J16</f>
        <v>1787.50167799934</v>
      </c>
      <c r="L17" s="72" t="n">
        <f aca="false">ROUND(I17*3.281,2)</f>
        <v>19142.67</v>
      </c>
      <c r="N17" s="85" t="s">
        <v>272</v>
      </c>
      <c r="O17" s="81" t="n">
        <f aca="false">B2+O16</f>
        <v>1009.91</v>
      </c>
      <c r="Q17" s="0" t="n">
        <v>53</v>
      </c>
      <c r="R17" s="75" t="n">
        <v>10.81</v>
      </c>
      <c r="T17" s="0" t="n">
        <v>52</v>
      </c>
      <c r="U17" s="75" t="n">
        <v>11.11</v>
      </c>
    </row>
    <row r="18" customFormat="false" ht="12.8" hidden="false" customHeight="false" outlineLevel="0" collapsed="false">
      <c r="B18" s="24"/>
      <c r="C18" s="24" t="n">
        <f aca="false">C17-$B$3</f>
        <v>469.25</v>
      </c>
      <c r="D18" s="24" t="n">
        <f aca="false">C18/33.864</f>
        <v>13.8568981809591</v>
      </c>
      <c r="E18" s="76" t="n">
        <f aca="false">LN(C18/$B$2)/-0.00012</f>
        <v>6414.854917015</v>
      </c>
      <c r="F18" s="75" t="n">
        <f aca="false">E18-E17</f>
        <v>582.928242110689</v>
      </c>
      <c r="G18" s="75" t="n">
        <f aca="false">ROUND(F18/$B$3,2)</f>
        <v>17.14</v>
      </c>
      <c r="H18" s="75" t="n">
        <f aca="false">ROUND(AVERAGE($G$3:G18),2)</f>
        <v>11.79</v>
      </c>
      <c r="I18" s="76" t="n">
        <f aca="false">($B$2-C18)*H18</f>
        <v>6413.76</v>
      </c>
      <c r="J18" s="77" t="n">
        <f aca="false">E18*3.281</f>
        <v>21047.1389827262</v>
      </c>
      <c r="K18" s="75" t="n">
        <f aca="false">J18-J17</f>
        <v>1912.58756236517</v>
      </c>
      <c r="L18" s="72" t="n">
        <f aca="false">ROUND(I18*3.281,2)</f>
        <v>21043.55</v>
      </c>
      <c r="Q18" s="0" t="n">
        <v>57</v>
      </c>
      <c r="R18" s="75" t="n">
        <v>10.53</v>
      </c>
      <c r="T18" s="0" t="n">
        <v>58</v>
      </c>
      <c r="U18" s="75" t="n">
        <v>11.44</v>
      </c>
    </row>
    <row r="19" customFormat="false" ht="12.8" hidden="false" customHeight="false" outlineLevel="0" collapsed="false">
      <c r="B19" s="24"/>
      <c r="C19" s="24" t="n">
        <f aca="false">C18-$B$3</f>
        <v>435.25</v>
      </c>
      <c r="D19" s="24" t="n">
        <f aca="false">C19/33.864</f>
        <v>12.8528821167021</v>
      </c>
      <c r="E19" s="76" t="n">
        <f aca="false">LN(C19/$B$2)/-0.00012</f>
        <v>7041.647390501</v>
      </c>
      <c r="F19" s="75" t="n">
        <f aca="false">E19-E18</f>
        <v>626.792473485998</v>
      </c>
      <c r="G19" s="75" t="n">
        <f aca="false">ROUND(F19/$B$3,2)</f>
        <v>18.44</v>
      </c>
      <c r="H19" s="75" t="n">
        <f aca="false">ROUND(AVERAGE($G$3:G19),2)</f>
        <v>12.18</v>
      </c>
      <c r="I19" s="76" t="n">
        <f aca="false">($B$2-C19)*H19</f>
        <v>7040.04</v>
      </c>
      <c r="J19" s="77" t="n">
        <f aca="false">E19*3.281</f>
        <v>23103.6450882338</v>
      </c>
      <c r="K19" s="75" t="n">
        <f aca="false">J19-J18</f>
        <v>2056.50610550756</v>
      </c>
      <c r="L19" s="72" t="n">
        <f aca="false">ROUND(I19*3.281,2)</f>
        <v>23098.37</v>
      </c>
      <c r="Q19" s="0" t="n">
        <v>60</v>
      </c>
      <c r="R19" s="75" t="n">
        <v>10.26</v>
      </c>
      <c r="T19" s="0" t="n">
        <v>64</v>
      </c>
      <c r="U19" s="75" t="n">
        <v>11.79</v>
      </c>
    </row>
    <row r="20" customFormat="false" ht="12.8" hidden="false" customHeight="true" outlineLevel="0" collapsed="false">
      <c r="B20" s="24"/>
      <c r="C20" s="24" t="n">
        <f aca="false">C19-$B$3</f>
        <v>401.25</v>
      </c>
      <c r="D20" s="24" t="n">
        <f aca="false">C20/33.864</f>
        <v>11.8488660524451</v>
      </c>
      <c r="E20" s="76" t="n">
        <f aca="false">LN(C20/$B$2)/-0.00012</f>
        <v>7719.4465922016</v>
      </c>
      <c r="F20" s="75" t="n">
        <f aca="false">E20-E19</f>
        <v>677.799201700606</v>
      </c>
      <c r="G20" s="75" t="n">
        <f aca="false">ROUND(F20/$B$3,2)</f>
        <v>19.94</v>
      </c>
      <c r="H20" s="75" t="n">
        <f aca="false">ROUND(AVERAGE($G$3:G20),2)</f>
        <v>12.61</v>
      </c>
      <c r="I20" s="76" t="n">
        <f aca="false">($B$2-C20)*H20</f>
        <v>7717.32</v>
      </c>
      <c r="J20" s="77" t="n">
        <f aca="false">E20*3.281</f>
        <v>25327.5042690135</v>
      </c>
      <c r="K20" s="75" t="n">
        <f aca="false">J20-J19</f>
        <v>2223.85918077969</v>
      </c>
      <c r="L20" s="72" t="n">
        <f aca="false">ROUND(I20*3.281,2)</f>
        <v>25320.53</v>
      </c>
      <c r="N20" s="53" t="s">
        <v>273</v>
      </c>
      <c r="O20" s="53"/>
      <c r="P20" s="53"/>
      <c r="Q20" s="0" t="n">
        <v>63</v>
      </c>
      <c r="R20" s="75" t="n">
        <v>10.02</v>
      </c>
      <c r="T20" s="0" t="n">
        <v>70</v>
      </c>
      <c r="U20" s="75" t="n">
        <v>12.18</v>
      </c>
    </row>
    <row r="21" customFormat="false" ht="12.8" hidden="false" customHeight="false" outlineLevel="0" collapsed="false">
      <c r="B21" s="24"/>
      <c r="C21" s="24" t="n">
        <f aca="false">C20-$B$3</f>
        <v>367.25</v>
      </c>
      <c r="D21" s="24" t="n">
        <f aca="false">C21/33.864</f>
        <v>10.844849988188</v>
      </c>
      <c r="E21" s="76" t="n">
        <f aca="false">LN(C21/$B$2)/-0.00012</f>
        <v>8457.29542045359</v>
      </c>
      <c r="F21" s="75" t="n">
        <f aca="false">E21-E20</f>
        <v>737.848828251991</v>
      </c>
      <c r="G21" s="75" t="n">
        <f aca="false">ROUND(F21/$B$3,2)</f>
        <v>21.7</v>
      </c>
      <c r="H21" s="75" t="n">
        <f aca="false">ROUND(AVERAGE($G$3:G21),2)</f>
        <v>13.09</v>
      </c>
      <c r="I21" s="76" t="n">
        <f aca="false">($B$2-C21)*H21</f>
        <v>8456.14</v>
      </c>
      <c r="J21" s="77" t="n">
        <f aca="false">E21*3.281</f>
        <v>27748.3862745082</v>
      </c>
      <c r="K21" s="75" t="n">
        <f aca="false">J21-J20</f>
        <v>2420.88200549478</v>
      </c>
      <c r="L21" s="72" t="n">
        <f aca="false">ROUND(I21*3.281,2)</f>
        <v>27744.6</v>
      </c>
      <c r="N21" s="53"/>
      <c r="O21" s="53"/>
      <c r="P21" s="53"/>
      <c r="Q21" s="0" t="n">
        <v>67</v>
      </c>
      <c r="R21" s="75" t="n">
        <v>9.79</v>
      </c>
      <c r="T21" s="0" t="n">
        <v>77</v>
      </c>
      <c r="U21" s="75" t="n">
        <v>12.61</v>
      </c>
    </row>
    <row r="22" customFormat="false" ht="12.8" hidden="false" customHeight="false" outlineLevel="0" collapsed="false">
      <c r="B22" s="24"/>
      <c r="C22" s="24" t="n">
        <f aca="false">C21-$B$3</f>
        <v>333.25</v>
      </c>
      <c r="D22" s="24" t="n">
        <f aca="false">C22/33.864</f>
        <v>9.84083392393102</v>
      </c>
      <c r="E22" s="76" t="n">
        <f aca="false">LN(C22/$B$2)/-0.00012</f>
        <v>9266.87755374666</v>
      </c>
      <c r="F22" s="75" t="n">
        <f aca="false">E22-E21</f>
        <v>809.582133293072</v>
      </c>
      <c r="G22" s="75" t="n">
        <f aca="false">ROUND(F22/$B$3,2)</f>
        <v>23.81</v>
      </c>
      <c r="H22" s="75" t="n">
        <f aca="false">ROUND(AVERAGE($G$3:G22),2)</f>
        <v>13.63</v>
      </c>
      <c r="I22" s="76" t="n">
        <f aca="false">($B$2-C22)*H22</f>
        <v>9268.4</v>
      </c>
      <c r="J22" s="77" t="n">
        <f aca="false">E22*3.281</f>
        <v>30404.6252538428</v>
      </c>
      <c r="K22" s="75" t="n">
        <f aca="false">J22-J21</f>
        <v>2656.23897933457</v>
      </c>
      <c r="L22" s="72" t="n">
        <f aca="false">ROUND(I22*3.281,2)</f>
        <v>30409.62</v>
      </c>
      <c r="N22" s="53"/>
      <c r="O22" s="53"/>
      <c r="P22" s="53"/>
      <c r="Q22" s="0" t="n">
        <v>70</v>
      </c>
      <c r="R22" s="75" t="n">
        <v>9.58</v>
      </c>
      <c r="T22" s="0" t="n">
        <v>84</v>
      </c>
      <c r="U22" s="75" t="n">
        <v>13.09</v>
      </c>
    </row>
    <row r="23" customFormat="false" ht="12.8" hidden="false" customHeight="false" outlineLevel="0" collapsed="false">
      <c r="B23" s="24"/>
      <c r="C23" s="24" t="n">
        <f aca="false">C22-$B$3</f>
        <v>299.25</v>
      </c>
      <c r="D23" s="24" t="n">
        <f aca="false">C23/33.864</f>
        <v>8.83681785967399</v>
      </c>
      <c r="E23" s="76" t="n">
        <f aca="false">LN(C23/$B$2)/-0.00012</f>
        <v>10163.6576755861</v>
      </c>
      <c r="F23" s="75" t="n">
        <f aca="false">E23-E22</f>
        <v>896.780121839462</v>
      </c>
      <c r="G23" s="75" t="n">
        <f aca="false">ROUND(F23/$B$3,2)</f>
        <v>26.38</v>
      </c>
      <c r="H23" s="75" t="n">
        <f aca="false">ROUND(AVERAGE($G$3:G23),2)</f>
        <v>14.24</v>
      </c>
      <c r="I23" s="76" t="n">
        <f aca="false">($B$2-C23)*H23</f>
        <v>10167.36</v>
      </c>
      <c r="J23" s="77" t="n">
        <f aca="false">E23*3.281</f>
        <v>33346.9608335981</v>
      </c>
      <c r="K23" s="75" t="n">
        <f aca="false">J23-J22</f>
        <v>2942.33557975527</v>
      </c>
      <c r="L23" s="72" t="n">
        <f aca="false">ROUND(I23*3.281,2)</f>
        <v>33359.11</v>
      </c>
      <c r="N23" s="53"/>
      <c r="O23" s="53"/>
      <c r="P23" s="53"/>
      <c r="Q23" s="0" t="n">
        <v>74</v>
      </c>
      <c r="R23" s="75" t="n">
        <v>9.38</v>
      </c>
      <c r="T23" s="0" t="n">
        <v>92</v>
      </c>
      <c r="U23" s="75" t="n">
        <v>13.63</v>
      </c>
    </row>
    <row r="24" customFormat="false" ht="12.8" hidden="false" customHeight="false" outlineLevel="0" collapsed="false">
      <c r="B24" s="24"/>
      <c r="C24" s="24" t="n">
        <f aca="false">C23-$B$3</f>
        <v>265.25</v>
      </c>
      <c r="D24" s="24" t="n">
        <f aca="false">C24/33.864</f>
        <v>7.83280179541696</v>
      </c>
      <c r="E24" s="76" t="n">
        <f aca="false">LN(C24/$B$2)/-0.00012</f>
        <v>11168.7124001194</v>
      </c>
      <c r="F24" s="75" t="n">
        <f aca="false">E24-E23</f>
        <v>1005.05472453325</v>
      </c>
      <c r="G24" s="75" t="n">
        <f aca="false">ROUND(F24/$B$3,2)</f>
        <v>29.56</v>
      </c>
      <c r="H24" s="75" t="n">
        <f aca="false">ROUND(AVERAGE($G$3:G24),2)</f>
        <v>14.93</v>
      </c>
      <c r="I24" s="76" t="n">
        <f aca="false">($B$2-C24)*H24</f>
        <v>11167.64</v>
      </c>
      <c r="J24" s="77" t="n">
        <f aca="false">E24*3.281</f>
        <v>36644.5453847917</v>
      </c>
      <c r="K24" s="75" t="n">
        <f aca="false">J24-J23</f>
        <v>3297.5845511936</v>
      </c>
      <c r="L24" s="72" t="n">
        <f aca="false">ROUND(I24*3.281,2)</f>
        <v>36641.03</v>
      </c>
      <c r="N24" s="53"/>
      <c r="O24" s="53"/>
      <c r="P24" s="53"/>
      <c r="Q24" s="0" t="n">
        <v>77</v>
      </c>
      <c r="R24" s="75" t="n">
        <v>9.19</v>
      </c>
      <c r="T24" s="0" t="n">
        <v>101</v>
      </c>
      <c r="U24" s="75" t="n">
        <v>14.24</v>
      </c>
    </row>
    <row r="25" customFormat="false" ht="12.8" hidden="false" customHeight="false" outlineLevel="0" collapsed="false">
      <c r="B25" s="24"/>
      <c r="C25" s="24" t="n">
        <f aca="false">C24-$B$3</f>
        <v>231.25</v>
      </c>
      <c r="D25" s="24" t="n">
        <f aca="false">C25/33.864</f>
        <v>6.82878573115993</v>
      </c>
      <c r="E25" s="76" t="n">
        <f aca="false">LN(C25/$B$2)/-0.00012</f>
        <v>12311.8240759657</v>
      </c>
      <c r="F25" s="75" t="n">
        <f aca="false">E25-E24</f>
        <v>1143.11167584632</v>
      </c>
      <c r="G25" s="75" t="n">
        <f aca="false">ROUND(F25/$B$3,2)</f>
        <v>33.62</v>
      </c>
      <c r="H25" s="75" t="n">
        <f aca="false">ROUND(AVERAGE($G$3:G25),2)</f>
        <v>15.74</v>
      </c>
      <c r="I25" s="76" t="n">
        <f aca="false">($B$2-C25)*H25</f>
        <v>12308.68</v>
      </c>
      <c r="J25" s="77" t="n">
        <f aca="false">E25*3.281</f>
        <v>40395.0947932434</v>
      </c>
      <c r="K25" s="75" t="n">
        <f aca="false">J25-J24</f>
        <v>3750.54940845176</v>
      </c>
      <c r="L25" s="72" t="n">
        <f aca="false">ROUND(I25*3.281,2)</f>
        <v>40384.78</v>
      </c>
      <c r="N25" s="53"/>
      <c r="O25" s="53"/>
      <c r="P25" s="53"/>
      <c r="Q25" s="0" t="n">
        <v>80</v>
      </c>
      <c r="R25" s="75" t="n">
        <v>9</v>
      </c>
      <c r="T25" s="0" t="n">
        <v>111</v>
      </c>
      <c r="U25" s="75" t="n">
        <v>14.93</v>
      </c>
    </row>
    <row r="26" customFormat="false" ht="12.8" hidden="false" customHeight="false" outlineLevel="0" collapsed="false">
      <c r="B26" s="24"/>
      <c r="C26" s="24" t="n">
        <f aca="false">C25-$B$3</f>
        <v>197.25</v>
      </c>
      <c r="D26" s="24" t="n">
        <f aca="false">C26/33.864</f>
        <v>5.82476966690291</v>
      </c>
      <c r="E26" s="76" t="n">
        <f aca="false">LN(C26/$B$2)/-0.00012</f>
        <v>13637.052548187</v>
      </c>
      <c r="F26" s="75" t="n">
        <f aca="false">E26-E25</f>
        <v>1325.22847222126</v>
      </c>
      <c r="G26" s="75" t="n">
        <f aca="false">ROUND(F26/$B$3,2)</f>
        <v>38.98</v>
      </c>
      <c r="H26" s="75" t="n">
        <f aca="false">ROUND(AVERAGE($G$3:G26),2)</f>
        <v>16.71</v>
      </c>
      <c r="I26" s="76" t="n">
        <f aca="false">($B$2-C26)*H26</f>
        <v>13635.36</v>
      </c>
      <c r="J26" s="77" t="n">
        <f aca="false">E26*3.281</f>
        <v>44743.1694106014</v>
      </c>
      <c r="K26" s="75" t="n">
        <f aca="false">J26-J25</f>
        <v>4348.07461735795</v>
      </c>
      <c r="L26" s="72" t="n">
        <f aca="false">ROUND(I26*3.281,2)</f>
        <v>44737.62</v>
      </c>
      <c r="N26" s="53"/>
      <c r="O26" s="53"/>
      <c r="P26" s="53"/>
      <c r="Q26" s="0" t="n">
        <v>84</v>
      </c>
      <c r="R26" s="75" t="n">
        <v>8.83</v>
      </c>
      <c r="T26" s="0" t="n">
        <v>123</v>
      </c>
      <c r="U26" s="75" t="n">
        <v>15.74</v>
      </c>
    </row>
    <row r="27" customFormat="false" ht="12.8" hidden="false" customHeight="false" outlineLevel="0" collapsed="false">
      <c r="B27" s="24"/>
      <c r="C27" s="24" t="n">
        <f aca="false">C26-$B$3</f>
        <v>163.25</v>
      </c>
      <c r="D27" s="24" t="n">
        <f aca="false">C27/33.864</f>
        <v>4.82075360264588</v>
      </c>
      <c r="E27" s="76" t="n">
        <f aca="false">LN(C27/$B$2)/-0.00012</f>
        <v>15213.629144599</v>
      </c>
      <c r="F27" s="75" t="n">
        <f aca="false">E27-E26</f>
        <v>1576.57659641203</v>
      </c>
      <c r="G27" s="75" t="n">
        <f aca="false">ROUND(F27/$B$3,2)</f>
        <v>46.37</v>
      </c>
      <c r="H27" s="75" t="n">
        <f aca="false">ROUND(AVERAGE($G$3:G27),2)</f>
        <v>17.9</v>
      </c>
      <c r="I27" s="76" t="n">
        <f aca="false">($B$2-C27)*H27</f>
        <v>15215</v>
      </c>
      <c r="J27" s="77" t="n">
        <f aca="false">E27*3.281</f>
        <v>49915.9172234293</v>
      </c>
      <c r="K27" s="75" t="n">
        <f aca="false">J27-J26</f>
        <v>5172.74781282786</v>
      </c>
      <c r="L27" s="72" t="n">
        <f aca="false">ROUND(I27*3.281,2)</f>
        <v>49920.42</v>
      </c>
      <c r="N27" s="53"/>
      <c r="O27" s="53"/>
      <c r="P27" s="53"/>
      <c r="Q27" s="0" t="n">
        <v>87</v>
      </c>
      <c r="R27" s="75" t="n">
        <v>8.67</v>
      </c>
      <c r="T27" s="0" t="n">
        <v>136</v>
      </c>
      <c r="U27" s="75" t="n">
        <v>16.71</v>
      </c>
    </row>
    <row r="28" customFormat="false" ht="12.8" hidden="false" customHeight="false" outlineLevel="0" collapsed="false">
      <c r="B28" s="24"/>
      <c r="C28" s="24" t="n">
        <f aca="false">C27-$B$3</f>
        <v>129.25</v>
      </c>
      <c r="D28" s="24" t="n">
        <f aca="false">C28/33.864</f>
        <v>3.81673753838885</v>
      </c>
      <c r="E28" s="76" t="n">
        <f aca="false">LN(C28/$B$2)/-0.00012</f>
        <v>17159.7479343323</v>
      </c>
      <c r="F28" s="75" t="n">
        <f aca="false">E28-E27</f>
        <v>1946.11878973335</v>
      </c>
      <c r="G28" s="75" t="n">
        <f aca="false">ROUND(F28/$B$3,2)</f>
        <v>57.24</v>
      </c>
      <c r="H28" s="75" t="n">
        <f aca="false">ROUND(AVERAGE($G$3:G28),2)</f>
        <v>19.41</v>
      </c>
      <c r="I28" s="76" t="n">
        <f aca="false">($B$2-C28)*H28</f>
        <v>17158.44</v>
      </c>
      <c r="J28" s="77" t="n">
        <f aca="false">E28*3.281</f>
        <v>56301.1329725444</v>
      </c>
      <c r="K28" s="75" t="n">
        <f aca="false">J28-J27</f>
        <v>6385.21574911512</v>
      </c>
      <c r="L28" s="72" t="n">
        <f aca="false">ROUND(I28*3.281,2)</f>
        <v>56296.84</v>
      </c>
      <c r="Q28" s="0" t="n">
        <v>91</v>
      </c>
      <c r="R28" s="75" t="n">
        <v>8.52</v>
      </c>
      <c r="T28" s="0" t="n">
        <v>152</v>
      </c>
      <c r="U28" s="75" t="n">
        <v>17.9</v>
      </c>
    </row>
    <row r="29" customFormat="false" ht="12.8" hidden="false" customHeight="false" outlineLevel="0" collapsed="false">
      <c r="B29" s="24"/>
      <c r="C29" s="24" t="n">
        <f aca="false">C28-$B$3</f>
        <v>95.25</v>
      </c>
      <c r="D29" s="24" t="n">
        <f aca="false">C29/33.864</f>
        <v>2.81272147413182</v>
      </c>
      <c r="E29" s="76" t="n">
        <f aca="false">LN(C29/$B$2)/-0.00012</f>
        <v>19703.4437625134</v>
      </c>
      <c r="F29" s="75" t="n">
        <f aca="false">E29-E28</f>
        <v>2543.69582818107</v>
      </c>
      <c r="G29" s="75" t="n">
        <f aca="false">ROUND(F29/$B$3,2)</f>
        <v>74.81</v>
      </c>
      <c r="H29" s="75" t="n">
        <f aca="false">ROUND(AVERAGE($G$3:G29),2)</f>
        <v>21.46</v>
      </c>
      <c r="I29" s="76" t="n">
        <f aca="false">($B$2-C29)*H29</f>
        <v>19700.28</v>
      </c>
      <c r="J29" s="77" t="n">
        <f aca="false">E29*3.281</f>
        <v>64646.9989848065</v>
      </c>
      <c r="K29" s="75" t="n">
        <f aca="false">J29-J28</f>
        <v>8345.86601226208</v>
      </c>
      <c r="L29" s="72" t="n">
        <f aca="false">ROUND(I29*3.281,2)</f>
        <v>64636.62</v>
      </c>
      <c r="Q29" s="0" t="n">
        <v>94</v>
      </c>
      <c r="R29" s="75" t="n">
        <v>8.37</v>
      </c>
      <c r="T29" s="0" t="n">
        <v>171</v>
      </c>
      <c r="U29" s="75" t="n">
        <v>19.41</v>
      </c>
    </row>
    <row r="30" customFormat="false" ht="12.8" hidden="false" customHeight="false" outlineLevel="0" collapsed="false">
      <c r="B30" s="24"/>
      <c r="C30" s="24" t="n">
        <f aca="false">C29-$B$3</f>
        <v>61.25</v>
      </c>
      <c r="D30" s="24" t="n">
        <f aca="false">C30/33.864</f>
        <v>1.80870540987479</v>
      </c>
      <c r="E30" s="76" t="n">
        <f aca="false">LN(C30/$B$2)/-0.00012</f>
        <v>23382.9534673632</v>
      </c>
      <c r="F30" s="75" t="n">
        <f aca="false">E30-E29</f>
        <v>3679.50970484978</v>
      </c>
      <c r="G30" s="75" t="n">
        <f aca="false">ROUND(F30/$B$3,2)</f>
        <v>108.22</v>
      </c>
      <c r="H30" s="75" t="n">
        <f aca="false">ROUND(AVERAGE($G$3:G30),2)</f>
        <v>24.56</v>
      </c>
      <c r="I30" s="76" t="n">
        <f aca="false">($B$2-C30)*H30</f>
        <v>23381.12</v>
      </c>
      <c r="J30" s="77" t="n">
        <f aca="false">E30*3.281</f>
        <v>76719.4703264186</v>
      </c>
      <c r="K30" s="75" t="n">
        <f aca="false">J30-J29</f>
        <v>12072.4713416121</v>
      </c>
      <c r="L30" s="72" t="n">
        <f aca="false">ROUND(I30*3.281,2)</f>
        <v>76713.45</v>
      </c>
      <c r="Q30" s="0" t="n">
        <v>97</v>
      </c>
      <c r="R30" s="75" t="n">
        <v>8.37</v>
      </c>
      <c r="T30" s="0" t="n">
        <v>197</v>
      </c>
      <c r="U30" s="75" t="n">
        <v>21.46</v>
      </c>
    </row>
    <row r="31" customFormat="false" ht="12.8" hidden="false" customHeight="false" outlineLevel="0" collapsed="false">
      <c r="B31" s="24"/>
      <c r="C31" s="24" t="n">
        <f aca="false">C30-$B$3</f>
        <v>27.25</v>
      </c>
      <c r="D31" s="24" t="n">
        <f aca="false">C31/33.864</f>
        <v>0.804689345617765</v>
      </c>
      <c r="E31" s="76" t="n">
        <f aca="false">LN(C31/$B$2)/-0.00012</f>
        <v>30132.2062033264</v>
      </c>
      <c r="F31" s="75" t="n">
        <f aca="false">E31-E30</f>
        <v>6749.25273596319</v>
      </c>
      <c r="G31" s="75" t="n">
        <f aca="false">ROUND(F31/$B$3,2)</f>
        <v>198.51</v>
      </c>
      <c r="H31" s="75" t="n">
        <f aca="false">ROUND(AVERAGE($G$3:G31),2)</f>
        <v>30.56</v>
      </c>
      <c r="I31" s="76" t="n">
        <f aca="false">($B$2-C31)*H31</f>
        <v>30132.16</v>
      </c>
      <c r="J31" s="77" t="n">
        <f aca="false">E31*3.281</f>
        <v>98863.7685531138</v>
      </c>
      <c r="K31" s="75" t="n">
        <f aca="false">J31-J30</f>
        <v>22144.2982266952</v>
      </c>
      <c r="L31" s="72" t="n">
        <f aca="false">ROUND(I31*3.281,2)</f>
        <v>98863.62</v>
      </c>
      <c r="Q31" s="0" t="n">
        <v>101</v>
      </c>
      <c r="R31" s="75" t="n">
        <v>8.37</v>
      </c>
      <c r="T31" s="0" t="n">
        <v>233</v>
      </c>
      <c r="U31" s="75" t="n">
        <v>24.56</v>
      </c>
    </row>
  </sheetData>
  <mergeCells count="3">
    <mergeCell ref="N1:O1"/>
    <mergeCell ref="N11:O11"/>
    <mergeCell ref="N20:P27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8873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2020-11-22T14:07:42Z</dcterms:created>
  <dc:creator/>
  <dc:description/>
  <dc:language>en-US</dc:language>
  <cp:lastModifiedBy/>
  <dcterms:modified xsi:type="dcterms:W3CDTF">2022-09-15T13:51:06Z</dcterms:modified>
  <cp:revision>124</cp:revision>
  <dc:subject/>
  <dc:title/>
</cp:coreProperties>
</file>