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Find Coefficients" sheetId="3" r:id="rId1"/>
  </sheets>
  <calcPr calcId="145621"/>
</workbook>
</file>

<file path=xl/calcChain.xml><?xml version="1.0" encoding="utf-8"?>
<calcChain xmlns="http://schemas.openxmlformats.org/spreadsheetml/2006/main">
  <c r="E4" i="3" l="1"/>
  <c r="E5" i="3"/>
  <c r="E6" i="3"/>
  <c r="E7" i="3"/>
  <c r="B8" i="3"/>
  <c r="E8" i="3"/>
  <c r="E9" i="3"/>
  <c r="B12" i="3" s="1"/>
  <c r="E10" i="3"/>
  <c r="E11" i="3"/>
  <c r="E13" i="3"/>
  <c r="B15" i="3"/>
  <c r="E15" i="3" s="1"/>
  <c r="B16" i="3"/>
  <c r="E16" i="3" s="1"/>
  <c r="A20" i="3"/>
  <c r="B20" i="3" s="1"/>
  <c r="A22" i="3"/>
  <c r="A21" i="3" s="1"/>
  <c r="B21" i="3" s="1"/>
  <c r="B22" i="3"/>
  <c r="A23" i="3"/>
  <c r="B23" i="3"/>
  <c r="A24" i="3"/>
  <c r="B24" i="3"/>
  <c r="E12" i="3" l="1"/>
  <c r="B14" i="3"/>
  <c r="E14" i="3" s="1"/>
  <c r="C20" i="3" l="1"/>
  <c r="C21" i="3"/>
  <c r="C22" i="3"/>
  <c r="D21" i="3" s="1"/>
  <c r="C23" i="3"/>
  <c r="D22" i="3" s="1"/>
  <c r="C24" i="3"/>
  <c r="D23" i="3" s="1"/>
  <c r="E22" i="3" s="1"/>
  <c r="F22" i="3" l="1"/>
  <c r="A27" i="3" s="1"/>
  <c r="A25" i="3" l="1"/>
  <c r="B25" i="3" s="1"/>
  <c r="C25" i="3" s="1"/>
  <c r="A26" i="3"/>
  <c r="B26" i="3" s="1"/>
  <c r="C26" i="3" s="1"/>
  <c r="A28" i="3"/>
  <c r="B28" i="3" s="1"/>
  <c r="C28" i="3" s="1"/>
  <c r="D27" i="3" s="1"/>
  <c r="A29" i="3"/>
  <c r="B29" i="3" s="1"/>
  <c r="C29" i="3" s="1"/>
  <c r="B27" i="3"/>
  <c r="C27" i="3" s="1"/>
  <c r="D26" i="3" s="1"/>
  <c r="D28" i="3" l="1"/>
  <c r="E27" i="3" s="1"/>
  <c r="F27" i="3" s="1"/>
  <c r="A32" i="3" s="1"/>
  <c r="A31" i="3" l="1"/>
  <c r="B31" i="3" s="1"/>
  <c r="C31" i="3" s="1"/>
  <c r="A33" i="3"/>
  <c r="B33" i="3" s="1"/>
  <c r="C33" i="3" s="1"/>
  <c r="D32" i="3" s="1"/>
  <c r="A34" i="3"/>
  <c r="B34" i="3" s="1"/>
  <c r="C34" i="3" s="1"/>
  <c r="A30" i="3"/>
  <c r="B30" i="3" s="1"/>
  <c r="C30" i="3" s="1"/>
  <c r="B32" i="3"/>
  <c r="C32" i="3" s="1"/>
  <c r="H4" i="3" l="1"/>
  <c r="B11" i="3" s="1"/>
  <c r="D31" i="3"/>
  <c r="D33" i="3"/>
  <c r="E32" i="3" s="1"/>
  <c r="F32" i="3" s="1"/>
  <c r="H5" i="3" l="1"/>
  <c r="N21" i="3"/>
  <c r="H21" i="3"/>
  <c r="N20" i="3" l="1"/>
  <c r="O20" i="3" s="1"/>
  <c r="P20" i="3" s="1"/>
  <c r="N22" i="3"/>
  <c r="O22" i="3" s="1"/>
  <c r="P22" i="3" s="1"/>
  <c r="Q21" i="3" s="1"/>
  <c r="O21" i="3"/>
  <c r="P21" i="3" s="1"/>
  <c r="R21" i="3" s="1"/>
  <c r="N24" i="3" s="1"/>
  <c r="I21" i="3"/>
  <c r="J21" i="3" s="1"/>
  <c r="H20" i="3"/>
  <c r="I20" i="3" s="1"/>
  <c r="J20" i="3" s="1"/>
  <c r="L21" i="3"/>
  <c r="H24" i="3" s="1"/>
  <c r="H22" i="3"/>
  <c r="I22" i="3" s="1"/>
  <c r="J22" i="3" s="1"/>
  <c r="K21" i="3" s="1"/>
  <c r="B9" i="3"/>
  <c r="N23" i="3" l="1"/>
  <c r="O23" i="3" s="1"/>
  <c r="P23" i="3" s="1"/>
  <c r="O24" i="3"/>
  <c r="P24" i="3" s="1"/>
  <c r="N25" i="3"/>
  <c r="O25" i="3" s="1"/>
  <c r="P25" i="3" s="1"/>
  <c r="Q24" i="3" s="1"/>
  <c r="R24" i="3" s="1"/>
  <c r="N27" i="3" s="1"/>
  <c r="H23" i="3"/>
  <c r="I23" i="3" s="1"/>
  <c r="J23" i="3" s="1"/>
  <c r="I24" i="3"/>
  <c r="J24" i="3" s="1"/>
  <c r="L24" i="3" s="1"/>
  <c r="H27" i="3" s="1"/>
  <c r="H25" i="3"/>
  <c r="I25" i="3" s="1"/>
  <c r="J25" i="3" s="1"/>
  <c r="K24" i="3" s="1"/>
  <c r="O27" i="3" l="1"/>
  <c r="P27" i="3" s="1"/>
  <c r="N26" i="3"/>
  <c r="O26" i="3" s="1"/>
  <c r="P26" i="3" s="1"/>
  <c r="N28" i="3"/>
  <c r="O28" i="3" s="1"/>
  <c r="P28" i="3" s="1"/>
  <c r="Q27" i="3" s="1"/>
  <c r="R27" i="3" s="1"/>
  <c r="N30" i="3" s="1"/>
  <c r="H26" i="3"/>
  <c r="I26" i="3" s="1"/>
  <c r="J26" i="3" s="1"/>
  <c r="H28" i="3"/>
  <c r="I28" i="3" s="1"/>
  <c r="J28" i="3" s="1"/>
  <c r="K27" i="3" s="1"/>
  <c r="I27" i="3"/>
  <c r="J27" i="3" s="1"/>
  <c r="L27" i="3" s="1"/>
  <c r="H30" i="3" s="1"/>
  <c r="H31" i="3" l="1"/>
  <c r="I31" i="3" s="1"/>
  <c r="J31" i="3" s="1"/>
  <c r="H29" i="3"/>
  <c r="I29" i="3" s="1"/>
  <c r="J29" i="3" s="1"/>
  <c r="I30" i="3"/>
  <c r="J30" i="3" s="1"/>
  <c r="N29" i="3"/>
  <c r="O29" i="3" s="1"/>
  <c r="P29" i="3" s="1"/>
  <c r="O30" i="3"/>
  <c r="P30" i="3" s="1"/>
  <c r="R30" i="3" s="1"/>
  <c r="N33" i="3" s="1"/>
  <c r="N31" i="3"/>
  <c r="O31" i="3" s="1"/>
  <c r="P31" i="3" s="1"/>
  <c r="Q30" i="3" s="1"/>
  <c r="O33" i="3" l="1"/>
  <c r="P33" i="3" s="1"/>
  <c r="N32" i="3"/>
  <c r="O32" i="3" s="1"/>
  <c r="P32" i="3" s="1"/>
  <c r="N34" i="3"/>
  <c r="O34" i="3" s="1"/>
  <c r="P34" i="3" s="1"/>
  <c r="Q33" i="3" s="1"/>
  <c r="R33" i="3" s="1"/>
  <c r="K30" i="3"/>
  <c r="L30" i="3" s="1"/>
  <c r="H33" i="3" s="1"/>
  <c r="H32" i="3" l="1"/>
  <c r="I32" i="3" s="1"/>
  <c r="J32" i="3" s="1"/>
  <c r="I33" i="3"/>
  <c r="J33" i="3" s="1"/>
  <c r="L33" i="3" s="1"/>
  <c r="H6" i="3" s="1"/>
  <c r="H7" i="3" s="1"/>
  <c r="B10" i="3" s="1"/>
  <c r="H34" i="3"/>
  <c r="I34" i="3" s="1"/>
  <c r="J34" i="3" s="1"/>
  <c r="K33" i="3" s="1"/>
</calcChain>
</file>

<file path=xl/sharedStrings.xml><?xml version="1.0" encoding="utf-8"?>
<sst xmlns="http://schemas.openxmlformats.org/spreadsheetml/2006/main" count="68" uniqueCount="36">
  <si>
    <t>Bandpass Coefficient Finder</t>
  </si>
  <si>
    <t>Comment</t>
  </si>
  <si>
    <t>3 Stage Bandpass</t>
  </si>
  <si>
    <t>4 Stage Bandpass</t>
  </si>
  <si>
    <t>Ftarget</t>
  </si>
  <si>
    <t>K</t>
  </si>
  <si>
    <t>Divisor</t>
  </si>
  <si>
    <t>Fsample</t>
  </si>
  <si>
    <t>N</t>
  </si>
  <si>
    <t>Fcentre</t>
  </si>
  <si>
    <t>A0</t>
  </si>
  <si>
    <t>Q</t>
  </si>
  <si>
    <t>B1</t>
  </si>
  <si>
    <t>Gain</t>
  </si>
  <si>
    <t>B2</t>
  </si>
  <si>
    <t>iA0</t>
  </si>
  <si>
    <t>A1</t>
  </si>
  <si>
    <t>iB1</t>
  </si>
  <si>
    <t>A2</t>
  </si>
  <si>
    <t>iB2</t>
  </si>
  <si>
    <t>Fbandwidth</t>
  </si>
  <si>
    <t>0-2Pi</t>
  </si>
  <si>
    <t>Inputs/Outputs</t>
  </si>
  <si>
    <t>Initial Calculations</t>
  </si>
  <si>
    <t>Solver:</t>
  </si>
  <si>
    <t>Example Resullts</t>
  </si>
  <si>
    <t>Filter Performance</t>
  </si>
  <si>
    <t>-3 dB</t>
  </si>
  <si>
    <t>Freq</t>
  </si>
  <si>
    <t>-3dB F low</t>
  </si>
  <si>
    <t>-3dB F high</t>
  </si>
  <si>
    <t>F centre</t>
  </si>
  <si>
    <t>f'</t>
  </si>
  <si>
    <t>f"</t>
  </si>
  <si>
    <t>-B1</t>
  </si>
  <si>
    <t>-B2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</si>
</sst>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00"/>
    <numFmt numFmtId="168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2" xfId="0" applyFont="1" applyBorder="1" applyAlignment="1"/>
    <xf numFmtId="0" fontId="0" fillId="0" borderId="6" xfId="0" applyBorder="1"/>
    <xf numFmtId="1" fontId="0" fillId="2" borderId="7" xfId="0" applyNumberFormat="1" applyFill="1" applyBorder="1"/>
    <xf numFmtId="164" fontId="0" fillId="0" borderId="0" xfId="0" applyNumberFormat="1" applyAlignment="1">
      <alignment horizontal="right"/>
    </xf>
    <xf numFmtId="0" fontId="0" fillId="3" borderId="7" xfId="0" applyFill="1" applyBorder="1"/>
    <xf numFmtId="0" fontId="0" fillId="0" borderId="8" xfId="0" applyBorder="1"/>
    <xf numFmtId="1" fontId="0" fillId="2" borderId="9" xfId="0" applyNumberFormat="1" applyFill="1" applyBorder="1"/>
    <xf numFmtId="0" fontId="0" fillId="0" borderId="10" xfId="0" applyBorder="1"/>
    <xf numFmtId="1" fontId="0" fillId="2" borderId="11" xfId="0" applyNumberFormat="1" applyFill="1" applyBorder="1"/>
    <xf numFmtId="164" fontId="0" fillId="0" borderId="0" xfId="0" applyNumberFormat="1"/>
    <xf numFmtId="1" fontId="0" fillId="3" borderId="11" xfId="0" applyNumberFormat="1" applyFill="1" applyBorder="1"/>
    <xf numFmtId="0" fontId="0" fillId="0" borderId="12" xfId="0" applyBorder="1"/>
    <xf numFmtId="1" fontId="0" fillId="2" borderId="0" xfId="0" applyNumberFormat="1" applyFill="1" applyBorder="1"/>
    <xf numFmtId="165" fontId="0" fillId="3" borderId="11" xfId="0" applyNumberFormat="1" applyFill="1" applyBorder="1"/>
    <xf numFmtId="0" fontId="0" fillId="0" borderId="13" xfId="0" applyBorder="1"/>
    <xf numFmtId="2" fontId="0" fillId="2" borderId="14" xfId="0" applyNumberFormat="1" applyFill="1" applyBorder="1"/>
    <xf numFmtId="0" fontId="0" fillId="0" borderId="15" xfId="0" applyBorder="1"/>
    <xf numFmtId="2" fontId="0" fillId="2" borderId="1" xfId="0" applyNumberFormat="1" applyFill="1" applyBorder="1"/>
    <xf numFmtId="0" fontId="0" fillId="3" borderId="9" xfId="0" applyFill="1" applyBorder="1"/>
    <xf numFmtId="0" fontId="0" fillId="0" borderId="0" xfId="0" applyAlignment="1">
      <alignment horizontal="right"/>
    </xf>
    <xf numFmtId="1" fontId="0" fillId="0" borderId="0" xfId="0" applyNumberFormat="1"/>
    <xf numFmtId="1" fontId="0" fillId="3" borderId="0" xfId="0" applyNumberFormat="1" applyFill="1" applyBorder="1"/>
    <xf numFmtId="165" fontId="0" fillId="3" borderId="0" xfId="0" applyNumberFormat="1" applyFill="1" applyBorder="1"/>
    <xf numFmtId="1" fontId="0" fillId="3" borderId="14" xfId="0" applyNumberFormat="1" applyFill="1" applyBorder="1"/>
    <xf numFmtId="1" fontId="0" fillId="3" borderId="1" xfId="0" applyNumberFormat="1" applyFill="1" applyBorder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0" quotePrefix="1" applyNumberFormat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quotePrefix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60" zoomScaleNormal="60" workbookViewId="0">
      <selection activeCell="G14" sqref="G14"/>
    </sheetView>
  </sheetViews>
  <sheetFormatPr defaultRowHeight="15" x14ac:dyDescent="0.25"/>
  <cols>
    <col min="1" max="1" width="10" customWidth="1"/>
    <col min="2" max="2" width="10" style="2" customWidth="1"/>
    <col min="3" max="3" width="10" customWidth="1"/>
    <col min="4" max="5" width="12.140625" customWidth="1"/>
    <col min="6" max="6" width="10" customWidth="1"/>
    <col min="7" max="8" width="13.140625" customWidth="1"/>
    <col min="9" max="9" width="10" customWidth="1"/>
    <col min="10" max="14" width="14.85546875" customWidth="1"/>
    <col min="15" max="16" width="10" customWidth="1"/>
    <col min="17" max="18" width="13.28515625" customWidth="1"/>
  </cols>
  <sheetData>
    <row r="1" spans="1:15" ht="21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 thickBot="1" x14ac:dyDescent="0.3">
      <c r="A2" s="1"/>
      <c r="J2" s="50" t="s">
        <v>25</v>
      </c>
      <c r="K2" s="50"/>
      <c r="L2" s="50"/>
      <c r="M2" s="50"/>
      <c r="N2" s="50"/>
    </row>
    <row r="3" spans="1:15" ht="15.75" thickBot="1" x14ac:dyDescent="0.3">
      <c r="A3" s="50" t="s">
        <v>22</v>
      </c>
      <c r="B3" s="50"/>
      <c r="D3" s="51" t="s">
        <v>23</v>
      </c>
      <c r="E3" s="51"/>
      <c r="G3" s="48" t="s">
        <v>26</v>
      </c>
      <c r="H3" s="48"/>
      <c r="J3" s="3" t="s">
        <v>1</v>
      </c>
      <c r="K3" s="52" t="s">
        <v>2</v>
      </c>
      <c r="L3" s="53"/>
      <c r="M3" s="54" t="s">
        <v>3</v>
      </c>
      <c r="N3" s="53"/>
    </row>
    <row r="4" spans="1:15" x14ac:dyDescent="0.25">
      <c r="A4" s="4" t="s">
        <v>4</v>
      </c>
      <c r="B4" s="5">
        <v>2125</v>
      </c>
      <c r="D4" s="22" t="s">
        <v>5</v>
      </c>
      <c r="E4" s="6">
        <f>TAN(PI()*B4/B5)</f>
        <v>1.0886353082937854</v>
      </c>
      <c r="G4" s="22" t="s">
        <v>13</v>
      </c>
      <c r="H4" s="30">
        <f>C32</f>
        <v>1.3333333333333268</v>
      </c>
      <c r="J4" s="8" t="s">
        <v>4</v>
      </c>
      <c r="K4" s="9">
        <v>1170</v>
      </c>
      <c r="L4" s="5">
        <v>2125</v>
      </c>
      <c r="M4" s="9">
        <v>1170</v>
      </c>
      <c r="N4" s="5">
        <v>2215</v>
      </c>
    </row>
    <row r="5" spans="1:15" x14ac:dyDescent="0.25">
      <c r="A5" s="10" t="s">
        <v>7</v>
      </c>
      <c r="B5" s="11">
        <v>8064.5161290322585</v>
      </c>
      <c r="D5" s="22" t="s">
        <v>8</v>
      </c>
      <c r="E5" s="12">
        <f>1/(1+E4/B7+E4*E4)</f>
        <v>0.37309007750397183</v>
      </c>
      <c r="G5" s="22" t="s">
        <v>9</v>
      </c>
      <c r="H5" s="28">
        <f>F32</f>
        <v>2114.9579848592057</v>
      </c>
      <c r="J5" s="14" t="s">
        <v>7</v>
      </c>
      <c r="K5" s="15">
        <v>8064.5161290322585</v>
      </c>
      <c r="L5" s="11">
        <v>8064.5161290322585</v>
      </c>
      <c r="M5" s="15">
        <v>8064.5161290322585</v>
      </c>
      <c r="N5" s="11">
        <v>8064.5161290322585</v>
      </c>
    </row>
    <row r="6" spans="1:15" x14ac:dyDescent="0.25">
      <c r="A6" s="10" t="s">
        <v>6</v>
      </c>
      <c r="B6" s="11">
        <v>8</v>
      </c>
      <c r="D6" s="22" t="s">
        <v>10</v>
      </c>
      <c r="E6" s="12">
        <f>E4/B7*E5</f>
        <v>0.1847508599738529</v>
      </c>
      <c r="G6" t="s">
        <v>20</v>
      </c>
      <c r="H6" s="28">
        <f>ABS(R33-L33)</f>
        <v>582.19609282780607</v>
      </c>
      <c r="J6" s="14" t="s">
        <v>6</v>
      </c>
      <c r="K6" s="15">
        <v>8</v>
      </c>
      <c r="L6" s="11">
        <v>8</v>
      </c>
      <c r="M6" s="15">
        <v>16</v>
      </c>
      <c r="N6" s="11">
        <v>16</v>
      </c>
    </row>
    <row r="7" spans="1:15" ht="15.75" thickBot="1" x14ac:dyDescent="0.3">
      <c r="A7" s="17" t="s">
        <v>11</v>
      </c>
      <c r="B7" s="18">
        <v>2.1984148360790896</v>
      </c>
      <c r="D7" s="22" t="s">
        <v>12</v>
      </c>
      <c r="E7" s="12">
        <f>-2*(E4*E4-1)*E5</f>
        <v>-0.13813797003640671</v>
      </c>
      <c r="G7" s="22" t="s">
        <v>11</v>
      </c>
      <c r="H7" s="30">
        <f>H5/H6</f>
        <v>3.6327244564396945</v>
      </c>
      <c r="J7" s="19" t="s">
        <v>11</v>
      </c>
      <c r="K7" s="20">
        <v>1.8018499499145659</v>
      </c>
      <c r="L7" s="18">
        <v>2.1984148360790896</v>
      </c>
      <c r="M7" s="20">
        <v>1.5552097364952306</v>
      </c>
      <c r="N7" s="18">
        <v>1.8242566317431184</v>
      </c>
    </row>
    <row r="8" spans="1:15" x14ac:dyDescent="0.25">
      <c r="A8" s="4" t="s">
        <v>6</v>
      </c>
      <c r="B8" s="7">
        <f>B6</f>
        <v>8</v>
      </c>
      <c r="D8" s="22" t="s">
        <v>14</v>
      </c>
      <c r="E8" s="12">
        <f>-(1-E4/B7+E4*E4)*E5</f>
        <v>-0.63049828005229414</v>
      </c>
      <c r="J8" s="8" t="s">
        <v>6</v>
      </c>
      <c r="K8" s="21">
        <v>8</v>
      </c>
      <c r="L8" s="7">
        <v>8</v>
      </c>
      <c r="M8" s="21">
        <v>16</v>
      </c>
      <c r="N8" s="7">
        <v>16</v>
      </c>
    </row>
    <row r="9" spans="1:15" x14ac:dyDescent="0.25">
      <c r="A9" s="10" t="s">
        <v>9</v>
      </c>
      <c r="B9" s="13">
        <f>H5</f>
        <v>2114.9579848592057</v>
      </c>
      <c r="C9" s="22"/>
      <c r="D9" s="22" t="s">
        <v>15</v>
      </c>
      <c r="E9" s="23">
        <f>-INT(-E6*$B$6)</f>
        <v>2</v>
      </c>
      <c r="J9" s="14" t="s">
        <v>9</v>
      </c>
      <c r="K9" s="24">
        <v>1165.3257421986648</v>
      </c>
      <c r="L9" s="13">
        <v>2114.9579848592057</v>
      </c>
      <c r="M9" s="24">
        <v>1165.3257421986648</v>
      </c>
      <c r="N9" s="13">
        <v>2222.3766443247478</v>
      </c>
    </row>
    <row r="10" spans="1:15" x14ac:dyDescent="0.25">
      <c r="A10" s="10" t="s">
        <v>11</v>
      </c>
      <c r="B10" s="16">
        <f>H7</f>
        <v>3.6327244564396945</v>
      </c>
      <c r="D10" s="22" t="s">
        <v>17</v>
      </c>
      <c r="E10" s="23">
        <f>INT(E7*$B$6+0.5)</f>
        <v>-1</v>
      </c>
      <c r="J10" s="14" t="s">
        <v>11</v>
      </c>
      <c r="K10" s="25">
        <v>2.0016035087720065</v>
      </c>
      <c r="L10" s="16">
        <v>3.6327244564396945</v>
      </c>
      <c r="M10" s="25">
        <v>2.0016035087720065</v>
      </c>
      <c r="N10" s="16">
        <v>3.1711203909887806</v>
      </c>
    </row>
    <row r="11" spans="1:15" x14ac:dyDescent="0.25">
      <c r="A11" s="10" t="s">
        <v>13</v>
      </c>
      <c r="B11" s="16">
        <f>H4</f>
        <v>1.3333333333333268</v>
      </c>
      <c r="D11" s="22" t="s">
        <v>19</v>
      </c>
      <c r="E11" s="23">
        <f>INT(E8*$B$6+0.5)</f>
        <v>-5</v>
      </c>
      <c r="J11" s="14" t="s">
        <v>13</v>
      </c>
      <c r="K11" s="25">
        <v>1.3333333333326309</v>
      </c>
      <c r="L11" s="16">
        <v>1.3333333333333268</v>
      </c>
      <c r="M11" s="25">
        <v>1.3333333333326309</v>
      </c>
      <c r="N11" s="16">
        <v>1.142857142857125</v>
      </c>
    </row>
    <row r="12" spans="1:15" x14ac:dyDescent="0.25">
      <c r="A12" s="10" t="s">
        <v>10</v>
      </c>
      <c r="B12" s="13">
        <f>E9</f>
        <v>2</v>
      </c>
      <c r="D12" s="22" t="s">
        <v>10</v>
      </c>
      <c r="E12" s="6">
        <f>B12/$B$8</f>
        <v>0.25</v>
      </c>
      <c r="J12" s="14" t="s">
        <v>10</v>
      </c>
      <c r="K12" s="24">
        <v>2</v>
      </c>
      <c r="L12" s="13">
        <v>2</v>
      </c>
      <c r="M12" s="24">
        <v>4</v>
      </c>
      <c r="N12" s="13">
        <v>4</v>
      </c>
    </row>
    <row r="13" spans="1:15" x14ac:dyDescent="0.25">
      <c r="A13" s="10" t="s">
        <v>16</v>
      </c>
      <c r="B13" s="13">
        <v>0</v>
      </c>
      <c r="D13" s="22" t="s">
        <v>16</v>
      </c>
      <c r="E13" s="6">
        <f>B13/$B$8</f>
        <v>0</v>
      </c>
      <c r="F13" s="22"/>
      <c r="J13" s="14" t="s">
        <v>16</v>
      </c>
      <c r="K13" s="24">
        <v>0</v>
      </c>
      <c r="L13" s="13">
        <v>0</v>
      </c>
      <c r="M13" s="24">
        <v>0</v>
      </c>
      <c r="N13" s="13">
        <v>0</v>
      </c>
    </row>
    <row r="14" spans="1:15" x14ac:dyDescent="0.25">
      <c r="A14" s="10" t="s">
        <v>18</v>
      </c>
      <c r="B14" s="13">
        <f>-B12</f>
        <v>-2</v>
      </c>
      <c r="D14" s="22" t="s">
        <v>18</v>
      </c>
      <c r="E14" s="6">
        <f>B14/$B$8</f>
        <v>-0.25</v>
      </c>
      <c r="F14" s="22"/>
      <c r="J14" s="14" t="s">
        <v>18</v>
      </c>
      <c r="K14" s="24">
        <v>-2</v>
      </c>
      <c r="L14" s="13">
        <v>-2</v>
      </c>
      <c r="M14" s="24">
        <v>-4</v>
      </c>
      <c r="N14" s="13">
        <v>-4</v>
      </c>
    </row>
    <row r="15" spans="1:15" x14ac:dyDescent="0.25">
      <c r="A15" s="10" t="s">
        <v>12</v>
      </c>
      <c r="B15" s="13">
        <f>E10</f>
        <v>-1</v>
      </c>
      <c r="D15" s="47" t="s">
        <v>34</v>
      </c>
      <c r="E15" s="6">
        <f>-B15/$B$8</f>
        <v>0.125</v>
      </c>
      <c r="F15" s="22"/>
      <c r="J15" s="14" t="s">
        <v>12</v>
      </c>
      <c r="K15" s="24">
        <v>8</v>
      </c>
      <c r="L15" s="13">
        <v>-1</v>
      </c>
      <c r="M15" s="24">
        <v>16</v>
      </c>
      <c r="N15" s="13">
        <v>-4</v>
      </c>
    </row>
    <row r="16" spans="1:15" ht="15.75" thickBot="1" x14ac:dyDescent="0.3">
      <c r="A16" s="17" t="s">
        <v>14</v>
      </c>
      <c r="B16" s="26">
        <f>E11</f>
        <v>-5</v>
      </c>
      <c r="D16" s="47" t="s">
        <v>35</v>
      </c>
      <c r="E16" s="6">
        <f>-B16/$B$8</f>
        <v>0.625</v>
      </c>
      <c r="F16" s="22"/>
      <c r="J16" s="19" t="s">
        <v>14</v>
      </c>
      <c r="K16" s="27">
        <v>-5</v>
      </c>
      <c r="L16" s="26">
        <v>-5</v>
      </c>
      <c r="M16" s="27">
        <v>-10</v>
      </c>
      <c r="N16" s="26">
        <v>-9</v>
      </c>
    </row>
    <row r="17" spans="1:18" x14ac:dyDescent="0.25">
      <c r="F17" s="22"/>
    </row>
    <row r="18" spans="1:18" x14ac:dyDescent="0.25">
      <c r="A18" s="1" t="s">
        <v>24</v>
      </c>
      <c r="E18" s="29"/>
    </row>
    <row r="19" spans="1:18" ht="15.75" thickBot="1" x14ac:dyDescent="0.3">
      <c r="A19" s="31" t="s">
        <v>28</v>
      </c>
      <c r="B19" s="31" t="s">
        <v>21</v>
      </c>
      <c r="C19" s="32" t="s">
        <v>13</v>
      </c>
      <c r="D19" s="33" t="s">
        <v>32</v>
      </c>
      <c r="E19" s="33" t="s">
        <v>33</v>
      </c>
      <c r="F19" s="31" t="s">
        <v>31</v>
      </c>
      <c r="G19" s="31"/>
      <c r="H19" s="31" t="s">
        <v>28</v>
      </c>
      <c r="I19" s="31" t="s">
        <v>21</v>
      </c>
      <c r="J19" s="32" t="s">
        <v>27</v>
      </c>
      <c r="K19" s="33" t="s">
        <v>32</v>
      </c>
      <c r="L19" s="32" t="s">
        <v>29</v>
      </c>
      <c r="M19" s="31"/>
      <c r="N19" s="31" t="s">
        <v>28</v>
      </c>
      <c r="O19" s="31" t="s">
        <v>21</v>
      </c>
      <c r="P19" s="32" t="s">
        <v>27</v>
      </c>
      <c r="Q19" s="33" t="s">
        <v>32</v>
      </c>
      <c r="R19" s="32" t="s">
        <v>30</v>
      </c>
    </row>
    <row r="20" spans="1:18" x14ac:dyDescent="0.25">
      <c r="A20" s="34">
        <f>A22-2</f>
        <v>2123</v>
      </c>
      <c r="B20" s="35">
        <f>2*PI()*A20/$B$5</f>
        <v>1.6540610984856403</v>
      </c>
      <c r="C20" s="35">
        <f>(SQRT(SUMSQ($E$12*SUMSQ(COS(B20))-$E$12*SUMSQ(SIN(B20))+$E$13*COS(B20)+$E$14)+SUMSQ(2*$E$12*COS(B20)*SIN(B20)+$E$13*(SIN(B20))))/SQRT(SUMSQ(SUMSQ(COS(B20))- SUMSQ(SIN(B20))+$E$15*COS(B20)+$E$16)+SUMSQ(2*COS(B20)*SIN(B20)+$E$15*(SIN(B20)))))</f>
        <v>1.3328419009167602</v>
      </c>
      <c r="D20" s="36"/>
      <c r="E20" s="36"/>
      <c r="F20" s="37"/>
      <c r="G20" s="38"/>
      <c r="H20" s="34">
        <f>H21-1</f>
        <v>1632.9391275103194</v>
      </c>
      <c r="I20" s="35">
        <f>2*PI()*H20/$B$5</f>
        <v>1.2722473325529449</v>
      </c>
      <c r="J20" s="35">
        <f>(SQRT(SUMSQ($E$12*SUMSQ(COS(I20))-$E$12*SUMSQ(SIN(I20))+$E$13*COS(I20)+$E$14)+SUMSQ(2*$E$12*COS(I20)*SIN(I20)+$E$13*(SIN(I20))))/SQRT(SUMSQ(SUMSQ(COS(I20))- SUMSQ(SIN(I20))+$E$15*COS(I20)+$E$16)+SUMSQ(2*COS(I20)*SIN(I20)+$E$15*(SIN(I20)))))/$C$32-2^-0.5</f>
        <v>-0.19614668793584245</v>
      </c>
      <c r="K20" s="36"/>
      <c r="L20" s="37"/>
      <c r="M20" s="31"/>
      <c r="N20" s="34">
        <f>N21-1</f>
        <v>2594.976842208092</v>
      </c>
      <c r="O20" s="35">
        <f>2*PI()*N20/$B$5</f>
        <v>2.0217853255617122</v>
      </c>
      <c r="P20" s="35">
        <f>(SQRT(SUMSQ($E$12*SUMSQ(COS(O20))-$E$12*SUMSQ(SIN(O20))+$E$13*COS(O20)+$E$14)+SUMSQ(2*$E$12*COS(O20)*SIN(O20)+$E$13*(SIN(O20))))/SQRT(SUMSQ(SUMSQ(COS(O20))- SUMSQ(SIN(O20))+$E$15*COS(O20)+$E$16)+SUMSQ(2*COS(O20)*SIN(O20)+$E$15*(SIN(O20)))))/$C$32-2^-0.5</f>
        <v>-0.20626391725653026</v>
      </c>
      <c r="Q20" s="36"/>
      <c r="R20" s="37"/>
    </row>
    <row r="21" spans="1:18" x14ac:dyDescent="0.25">
      <c r="A21" s="39">
        <f>A22-1</f>
        <v>2124</v>
      </c>
      <c r="B21" s="40">
        <f>2*PI()*A21/$B$5</f>
        <v>1.6548402134637306</v>
      </c>
      <c r="C21" s="40">
        <f>(SQRT(SUMSQ($E$12*SUMSQ(COS(B21))-$E$12*SUMSQ(SIN(B21))+$E$13*COS(B21)+$E$14)+SUMSQ(2*$E$12*COS(B21)*SIN(B21)+$E$13*(SIN(B21))))/SQRT(SUMSQ(SUMSQ(COS(B21))- SUMSQ(SIN(B21))+$E$15*COS(B21)+$E$16)+SUMSQ(2*COS(B21)*SIN(B21)+$E$15*(SIN(B21)))))</f>
        <v>1.3327121346242108</v>
      </c>
      <c r="D21" s="41">
        <f>(C22-C20)/2</f>
        <v>-1.3734727419922876E-4</v>
      </c>
      <c r="E21" s="41"/>
      <c r="F21" s="42"/>
      <c r="G21" s="38"/>
      <c r="H21" s="39">
        <f>F32*(1-1/2/B7)</f>
        <v>1633.9391275103194</v>
      </c>
      <c r="I21" s="40">
        <f>2*PI()*H21/$B$5</f>
        <v>1.2730264475310353</v>
      </c>
      <c r="J21" s="40">
        <f>(SQRT(SUMSQ($E$12*SUMSQ(COS(I21))-$E$12*SUMSQ(SIN(I21))+$E$13*COS(I21)+$E$14)+SUMSQ(2*$E$12*COS(I21)*SIN(I21)+$E$13*(SIN(I21))))/SQRT(SUMSQ(SUMSQ(COS(I21))- SUMSQ(SIN(I21))+$E$15*COS(I21)+$E$16)+SUMSQ(2*COS(I21)*SIN(I21)+$E$15*(SIN(I21)))))/$C$32-2^-0.5</f>
        <v>-0.19529752945710066</v>
      </c>
      <c r="K21" s="41">
        <f>(J22-J20)/2</f>
        <v>8.5009279875458699E-4</v>
      </c>
      <c r="L21" s="42">
        <f>H21-J21/K21</f>
        <v>1863.6758453642028</v>
      </c>
      <c r="M21" s="31"/>
      <c r="N21" s="39">
        <f>F32*(1+1/2/B7)</f>
        <v>2595.976842208092</v>
      </c>
      <c r="O21" s="40">
        <f>2*PI()*N21/$B$5</f>
        <v>2.0225644405398024</v>
      </c>
      <c r="P21" s="40">
        <f>(SQRT(SUMSQ($E$12*SUMSQ(COS(O21))-$E$12*SUMSQ(SIN(O21))+$E$13*COS(O21)+$E$14)+SUMSQ(2*$E$12*COS(O21)*SIN(O21)+$E$13*(SIN(O21))))/SQRT(SUMSQ(SUMSQ(COS(O21))- SUMSQ(SIN(O21))+$E$15*COS(O21)+$E$16)+SUMSQ(2*COS(O21)*SIN(O21)+$E$15*(SIN(O21)))))/$C$32-2^-0.5</f>
        <v>-0.20713753601302398</v>
      </c>
      <c r="Q21" s="41">
        <f>(P22-P20)/2</f>
        <v>-8.7265499616082098E-4</v>
      </c>
      <c r="R21" s="42">
        <f>N21-P21/Q21</f>
        <v>2358.6120910471982</v>
      </c>
    </row>
    <row r="22" spans="1:18" ht="15.75" thickBot="1" x14ac:dyDescent="0.3">
      <c r="A22" s="39">
        <f>B4</f>
        <v>2125</v>
      </c>
      <c r="B22" s="40">
        <f>2*PI()*A22/$B$5</f>
        <v>1.6556193284418208</v>
      </c>
      <c r="C22" s="40">
        <f>(SQRT(SUMSQ($E$12*SUMSQ(COS(B22))-$E$12*SUMSQ(SIN(B22))+$E$13*COS(B22)+$E$14)+SUMSQ(2*$E$12*COS(B22)*SIN(B22)+$E$13*(SIN(B22))))/SQRT(SUMSQ(SUMSQ(COS(B22))- SUMSQ(SIN(B22))+$E$15*COS(B22)+$E$16)+SUMSQ(2*COS(B22)*SIN(B22)+$E$15*(SIN(B22)))))</f>
        <v>1.3325672063683618</v>
      </c>
      <c r="D22" s="41">
        <f>(C23-C21)/2</f>
        <v>-1.5250353465079414E-4</v>
      </c>
      <c r="E22" s="41">
        <f>(D23-D21)/2</f>
        <v>-1.5150189376145207E-5</v>
      </c>
      <c r="F22" s="42">
        <f>A22-D22/E22</f>
        <v>2114.9338859162435</v>
      </c>
      <c r="G22" s="38"/>
      <c r="H22" s="43">
        <f>H21+1</f>
        <v>1634.9391275103194</v>
      </c>
      <c r="I22" s="44">
        <f>2*PI()*H22/$B$5</f>
        <v>1.2738055625091254</v>
      </c>
      <c r="J22" s="44">
        <f>(SQRT(SUMSQ($E$12*SUMSQ(COS(I22))-$E$12*SUMSQ(SIN(I22))+$E$13*COS(I22)+$E$14)+SUMSQ(2*$E$12*COS(I22)*SIN(I22)+$E$13*(SIN(I22))))/SQRT(SUMSQ(SUMSQ(COS(I22))- SUMSQ(SIN(I22))+$E$15*COS(I22)+$E$16)+SUMSQ(2*COS(I22)*SIN(I22)+$E$15*(SIN(I22)))))/$C$32-2^-0.5</f>
        <v>-0.19444650233833327</v>
      </c>
      <c r="K22" s="45"/>
      <c r="L22" s="46"/>
      <c r="M22" s="31"/>
      <c r="N22" s="43">
        <f>N21+1</f>
        <v>2596.976842208092</v>
      </c>
      <c r="O22" s="44">
        <f>2*PI()*N22/$B$5</f>
        <v>2.0233435555178927</v>
      </c>
      <c r="P22" s="44">
        <f>(SQRT(SUMSQ($E$12*SUMSQ(COS(O22))-$E$12*SUMSQ(SIN(O22))+$E$13*COS(O22)+$E$14)+SUMSQ(2*$E$12*COS(O22)*SIN(O22)+$E$13*(SIN(O22))))/SQRT(SUMSQ(SUMSQ(COS(O22))- SUMSQ(SIN(O22))+$E$15*COS(O22)+$E$16)+SUMSQ(2*COS(O22)*SIN(O22)+$E$15*(SIN(O22)))))/$C$32-2^-0.5</f>
        <v>-0.2080092272488519</v>
      </c>
      <c r="Q22" s="45"/>
      <c r="R22" s="46"/>
    </row>
    <row r="23" spans="1:18" x14ac:dyDescent="0.25">
      <c r="A23" s="39">
        <f>A22+1</f>
        <v>2126</v>
      </c>
      <c r="B23" s="40">
        <f>2*PI()*A23/$B$5</f>
        <v>1.6563984434199113</v>
      </c>
      <c r="C23" s="40">
        <f>(SQRT(SUMSQ($E$12*SUMSQ(COS(B23))-$E$12*SUMSQ(SIN(B23))+$E$13*COS(B23)+$E$14)+SUMSQ(2*$E$12*COS(B23)*SIN(B23)+$E$13*(SIN(B23))))/SQRT(SUMSQ(SUMSQ(COS(B23))- SUMSQ(SIN(B23))+$E$15*COS(B23)+$E$16)+SUMSQ(2*COS(B23)*SIN(B23)+$E$15*(SIN(B23)))))</f>
        <v>1.3324071275549092</v>
      </c>
      <c r="D23" s="41">
        <f>(C24-C22)/2</f>
        <v>-1.6764765295151918E-4</v>
      </c>
      <c r="E23" s="41"/>
      <c r="F23" s="42"/>
      <c r="G23" s="38"/>
      <c r="H23" s="34">
        <f>H24-1</f>
        <v>1862.6758453642028</v>
      </c>
      <c r="I23" s="35">
        <f>2*PI()*H23/$B$5</f>
        <v>1.4512386504502035</v>
      </c>
      <c r="J23" s="35">
        <f>(SQRT(SUMSQ($E$12*SUMSQ(COS(I23))-$E$12*SUMSQ(SIN(I23))+$E$13*COS(I23)+$E$14)+SUMSQ(2*$E$12*COS(I23)*SIN(I23)+$E$13*(SIN(I23))))/SQRT(SUMSQ(SUMSQ(COS(I23))- SUMSQ(SIN(I23))+$E$15*COS(I23)+$E$16)+SUMSQ(2*COS(I23)*SIN(I23)+$E$15*(SIN(I23)))))/$C$32-2^-0.5</f>
        <v>5.2467607683839734E-2</v>
      </c>
      <c r="K23" s="36"/>
      <c r="L23" s="37"/>
      <c r="M23" s="31"/>
      <c r="N23" s="34">
        <f>N24-1</f>
        <v>2357.6120910471982</v>
      </c>
      <c r="O23" s="35">
        <f>2*PI()*N23/$B$5</f>
        <v>1.8368508926615903</v>
      </c>
      <c r="P23" s="35">
        <f>(SQRT(SUMSQ($E$12*SUMSQ(COS(O23))-$E$12*SUMSQ(SIN(O23))+$E$13*COS(O23)+$E$14)+SUMSQ(2*$E$12*COS(O23)*SIN(O23)+$E$13*(SIN(O23))))/SQRT(SUMSQ(SUMSQ(COS(O23))- SUMSQ(SIN(O23))+$E$15*COS(O23)+$E$16)+SUMSQ(2*COS(O23)*SIN(O23)+$E$15*(SIN(O23)))))/$C$32-2^-0.5</f>
        <v>6.033023805739246E-2</v>
      </c>
      <c r="Q23" s="36"/>
      <c r="R23" s="37"/>
    </row>
    <row r="24" spans="1:18" ht="15.75" thickBot="1" x14ac:dyDescent="0.3">
      <c r="A24" s="43">
        <f>A22+2</f>
        <v>2127</v>
      </c>
      <c r="B24" s="44">
        <f>2*PI()*A24/$B$5</f>
        <v>1.6571775583980013</v>
      </c>
      <c r="C24" s="44">
        <f>(SQRT(SUMSQ($E$12*SUMSQ(COS(B24))-$E$12*SUMSQ(SIN(B24))+$E$13*COS(B24)+$E$14)+SUMSQ(2*$E$12*COS(B24)*SIN(B24)+$E$13*(SIN(B24))))/SQRT(SUMSQ(SUMSQ(COS(B24))- SUMSQ(SIN(B24))+$E$15*COS(B24)+$E$16)+SUMSQ(2*COS(B24)*SIN(B24)+$E$15*(SIN(B24)))))</f>
        <v>1.3322319110624588</v>
      </c>
      <c r="D24" s="45"/>
      <c r="E24" s="45"/>
      <c r="F24" s="46"/>
      <c r="G24" s="38"/>
      <c r="H24" s="39">
        <f>L21</f>
        <v>1863.6758453642028</v>
      </c>
      <c r="I24" s="40">
        <f>2*PI()*H24/$B$5</f>
        <v>1.452017765428294</v>
      </c>
      <c r="J24" s="40">
        <f>(SQRT(SUMSQ($E$12*SUMSQ(COS(I24))-$E$12*SUMSQ(SIN(I24))+$E$13*COS(I24)+$E$14)+SUMSQ(2*$E$12*COS(I24)*SIN(I24)+$E$13*(SIN(I24))))/SQRT(SUMSQ(SUMSQ(COS(I24))- SUMSQ(SIN(I24))+$E$15*COS(I24)+$E$16)+SUMSQ(2*COS(I24)*SIN(I24)+$E$15*(SIN(I24)))))/$C$32-2^-0.5</f>
        <v>5.3765171292579073E-2</v>
      </c>
      <c r="K24" s="41">
        <f>(J25-J23)/2</f>
        <v>1.2980968328114018E-3</v>
      </c>
      <c r="L24" s="42">
        <f>H24-J24/K24</f>
        <v>1822.2573857134423</v>
      </c>
      <c r="M24" s="31"/>
      <c r="N24" s="39">
        <f>R21</f>
        <v>2358.6120910471982</v>
      </c>
      <c r="O24" s="40">
        <f>2*PI()*N24/$B$5</f>
        <v>1.8376300076396805</v>
      </c>
      <c r="P24" s="40">
        <f>(SQRT(SUMSQ($E$12*SUMSQ(COS(O24))-$E$12*SUMSQ(SIN(O24))+$E$13*COS(O24)+$E$14)+SUMSQ(2*$E$12*COS(O24)*SIN(O24)+$E$13*(SIN(O24))))/SQRT(SUMSQ(SUMSQ(COS(O24))- SUMSQ(SIN(O24))+$E$15*COS(O24)+$E$16)+SUMSQ(2*COS(O24)*SIN(O24)+$E$15*(SIN(O24)))))/$C$32-2^-0.5</f>
        <v>5.8988859171003272E-2</v>
      </c>
      <c r="Q24" s="41">
        <f>(P25-P23)/2</f>
        <v>-1.3409451129413608E-3</v>
      </c>
      <c r="R24" s="42">
        <f>N24-P24/Q24</f>
        <v>2402.6026008762033</v>
      </c>
    </row>
    <row r="25" spans="1:18" ht="15.75" thickBot="1" x14ac:dyDescent="0.3">
      <c r="A25" s="34">
        <f>A27-2</f>
        <v>2112.9338859162435</v>
      </c>
      <c r="B25" s="35">
        <f>2*PI()*A25/$B$5</f>
        <v>1.6462184382318201</v>
      </c>
      <c r="C25" s="35">
        <f>(SQRT(SUMSQ($E$12*SUMSQ(COS(B25))-$E$12*SUMSQ(SIN(B25))+$E$13*COS(B25)+$E$14)+SUMSQ(2*$E$12*COS(B25)*SIN(B25)+$E$13*(SIN(B25))))/SQRT(SUMSQ(SUMSQ(COS(B25))- SUMSQ(SIN(B25))+$E$15*COS(B25)+$E$16)+SUMSQ(2*COS(B25)*SIN(B25)+$E$15*(SIN(B25)))))</f>
        <v>1.3333022043389369</v>
      </c>
      <c r="D25" s="36"/>
      <c r="E25" s="36"/>
      <c r="F25" s="37"/>
      <c r="G25" s="38"/>
      <c r="H25" s="43">
        <f>H24+1</f>
        <v>1864.6758453642028</v>
      </c>
      <c r="I25" s="44">
        <f>2*PI()*H25/$B$5</f>
        <v>1.452796880406384</v>
      </c>
      <c r="J25" s="44">
        <f>(SQRT(SUMSQ($E$12*SUMSQ(COS(I25))-$E$12*SUMSQ(SIN(I25))+$E$13*COS(I25)+$E$14)+SUMSQ(2*$E$12*COS(I25)*SIN(I25)+$E$13*(SIN(I25))))/SQRT(SUMSQ(SUMSQ(COS(I25))- SUMSQ(SIN(I25))+$E$15*COS(I25)+$E$16)+SUMSQ(2*COS(I25)*SIN(I25)+$E$15*(SIN(I25)))))/$C$32-2^-0.5</f>
        <v>5.5063801349462538E-2</v>
      </c>
      <c r="K25" s="45"/>
      <c r="L25" s="46"/>
      <c r="M25" s="31"/>
      <c r="N25" s="43">
        <f>N24+1</f>
        <v>2359.6120910471982</v>
      </c>
      <c r="O25" s="44">
        <f>2*PI()*N25/$B$5</f>
        <v>1.8384091226177708</v>
      </c>
      <c r="P25" s="44">
        <f>(SQRT(SUMSQ($E$12*SUMSQ(COS(O25))-$E$12*SUMSQ(SIN(O25))+$E$13*COS(O25)+$E$14)+SUMSQ(2*$E$12*COS(O25)*SIN(O25)+$E$13*(SIN(O25))))/SQRT(SUMSQ(SUMSQ(COS(O25))- SUMSQ(SIN(O25))+$E$15*COS(O25)+$E$16)+SUMSQ(2*COS(O25)*SIN(O25)+$E$15*(SIN(O25)))))/$C$32-2^-0.5</f>
        <v>5.7648347831509739E-2</v>
      </c>
      <c r="Q25" s="45"/>
      <c r="R25" s="46"/>
    </row>
    <row r="26" spans="1:18" x14ac:dyDescent="0.25">
      <c r="A26" s="39">
        <f>A27-1</f>
        <v>2113.9338859162435</v>
      </c>
      <c r="B26" s="40">
        <f>2*PI()*A26/$B$5</f>
        <v>1.6469975532099106</v>
      </c>
      <c r="C26" s="40">
        <f>(SQRT(SUMSQ($E$12*SUMSQ(COS(B26))-$E$12*SUMSQ(SIN(B26))+$E$13*COS(B26)+$E$14)+SUMSQ(2*$E$12*COS(B26)*SIN(B26)+$E$13*(SIN(B26))))/SQRT(SUMSQ(SUMSQ(COS(B26))- SUMSQ(SIN(B26))+$E$15*COS(B26)+$E$16)+SUMSQ(2*COS(B26)*SIN(B26)+$E$15*(SIN(B26)))))</f>
        <v>1.333325363762663</v>
      </c>
      <c r="D26" s="41">
        <f>(C27-C25)/2</f>
        <v>1.5562285101911044E-5</v>
      </c>
      <c r="E26" s="41"/>
      <c r="F26" s="42"/>
      <c r="G26" s="38"/>
      <c r="H26" s="34">
        <f>H27-1</f>
        <v>1821.2573857134423</v>
      </c>
      <c r="I26" s="35">
        <f>2*PI()*H26/$B$5</f>
        <v>1.4189689081668686</v>
      </c>
      <c r="J26" s="35">
        <f>(SQRT(SUMSQ($E$12*SUMSQ(COS(I26))-$E$12*SUMSQ(SIN(I26))+$E$13*COS(I26)+$E$14)+SUMSQ(2*$E$12*COS(I26)*SIN(I26)+$E$13*(SIN(I26))))/SQRT(SUMSQ(SUMSQ(COS(I26))- SUMSQ(SIN(I26))+$E$15*COS(I26)+$E$16)+SUMSQ(2*COS(I26)*SIN(I26)+$E$15*(SIN(I26)))))/$C$32-2^-0.5</f>
        <v>-8.2631352738005148E-5</v>
      </c>
      <c r="K26" s="36"/>
      <c r="L26" s="37"/>
      <c r="M26" s="31"/>
      <c r="N26" s="34">
        <f>N27-1</f>
        <v>2401.6026008762033</v>
      </c>
      <c r="O26" s="35">
        <f>2*PI()*N26/$B$5</f>
        <v>1.8711245577631952</v>
      </c>
      <c r="P26" s="35">
        <f>(SQRT(SUMSQ($E$12*SUMSQ(COS(O26))-$E$12*SUMSQ(SIN(O26))+$E$13*COS(O26)+$E$14)+SUMSQ(2*$E$12*COS(O26)*SIN(O26)+$E$13*(SIN(O26))))/SQRT(SUMSQ(SUMSQ(COS(O26))- SUMSQ(SIN(O26))+$E$15*COS(O26)+$E$16)+SUMSQ(2*COS(O26)*SIN(O26)+$E$15*(SIN(O26)))))/$C$32-2^-0.5</f>
        <v>2.456829153354434E-3</v>
      </c>
      <c r="Q26" s="36"/>
      <c r="R26" s="37"/>
    </row>
    <row r="27" spans="1:18" x14ac:dyDescent="0.25">
      <c r="A27" s="39">
        <f>F22</f>
        <v>2114.9338859162435</v>
      </c>
      <c r="B27" s="40">
        <f>2*PI()*A27/$B$5</f>
        <v>1.6477766681880008</v>
      </c>
      <c r="C27" s="40">
        <f>(SQRT(SUMSQ($E$12*SUMSQ(COS(B27))-$E$12*SUMSQ(SIN(B27))+$E$13*COS(B27)+$E$14)+SUMSQ(2*$E$12*COS(B27)*SIN(B27)+$E$13*(SIN(B27))))/SQRT(SUMSQ(SUMSQ(COS(B27))- SUMSQ(SIN(B27))+$E$15*COS(B27)+$E$16)+SUMSQ(2*COS(B27)*SIN(B27)+$E$15*(SIN(B27)))))</f>
        <v>1.3333333289091407</v>
      </c>
      <c r="D27" s="41">
        <f>(C28-C26)/2</f>
        <v>3.6624863331002899E-7</v>
      </c>
      <c r="E27" s="41">
        <f>(D28-D26)/2</f>
        <v>-1.5197424592217068E-5</v>
      </c>
      <c r="F27" s="42">
        <f>A27-D27/E27</f>
        <v>2114.9579853043397</v>
      </c>
      <c r="G27" s="38"/>
      <c r="H27" s="39">
        <f>L24</f>
        <v>1822.2573857134423</v>
      </c>
      <c r="I27" s="40">
        <f>2*PI()*H27/$B$5</f>
        <v>1.4197480231449588</v>
      </c>
      <c r="J27" s="40">
        <f>(SQRT(SUMSQ($E$12*SUMSQ(COS(I27))-$E$12*SUMSQ(SIN(I27))+$E$13*COS(I27)+$E$14)+SUMSQ(2*$E$12*COS(I27)*SIN(I27)+$E$13*(SIN(I27))))/SQRT(SUMSQ(SUMSQ(COS(I27))- SUMSQ(SIN(I27))+$E$15*COS(I27)+$E$16)+SUMSQ(2*COS(I27)*SIN(I27)+$E$15*(SIN(I27)))))/$C$32-2^-0.5</f>
        <v>1.1539300016925047E-3</v>
      </c>
      <c r="K27" s="41">
        <f>(J28-J26)/2</f>
        <v>1.237452296950603E-3</v>
      </c>
      <c r="L27" s="42">
        <f>H27-J27/K27</f>
        <v>1821.3248810790931</v>
      </c>
      <c r="M27" s="31"/>
      <c r="N27" s="39">
        <f>R24</f>
        <v>2402.6026008762033</v>
      </c>
      <c r="O27" s="40">
        <f>2*PI()*N27/$B$5</f>
        <v>1.8719036727412857</v>
      </c>
      <c r="P27" s="40">
        <f>(SQRT(SUMSQ($E$12*SUMSQ(COS(O27))-$E$12*SUMSQ(SIN(O27))+$E$13*COS(O27)+$E$14)+SUMSQ(2*$E$12*COS(O27)*SIN(O27)+$E$13*(SIN(O27))))/SQRT(SUMSQ(SUMSQ(COS(O27))- SUMSQ(SIN(O27))+$E$15*COS(O27)+$E$16)+SUMSQ(2*COS(O27)*SIN(O27)+$E$15*(SIN(O27)))))/$C$32-2^-0.5</f>
        <v>1.1749210067568683E-3</v>
      </c>
      <c r="Q27" s="41">
        <f>(P28-P26)/2</f>
        <v>-1.2810298557386912E-3</v>
      </c>
      <c r="R27" s="42">
        <f>N27-P27/Q27</f>
        <v>2403.5197699815863</v>
      </c>
    </row>
    <row r="28" spans="1:18" ht="15.75" thickBot="1" x14ac:dyDescent="0.3">
      <c r="A28" s="39">
        <f>A27+1</f>
        <v>2115.9338859162435</v>
      </c>
      <c r="B28" s="40">
        <f>2*PI()*A28/$B$5</f>
        <v>1.6485557831660911</v>
      </c>
      <c r="C28" s="40">
        <f>(SQRT(SUMSQ($E$12*SUMSQ(COS(B28))-$E$12*SUMSQ(SIN(B28))+$E$13*COS(B28)+$E$14)+SUMSQ(2*$E$12*COS(B28)*SIN(B28)+$E$13*(SIN(B28))))/SQRT(SUMSQ(SUMSQ(COS(B28))- SUMSQ(SIN(B28))+$E$15*COS(B28)+$E$16)+SUMSQ(2*COS(B28)*SIN(B28)+$E$15*(SIN(B28)))))</f>
        <v>1.3333260962599296</v>
      </c>
      <c r="D28" s="41">
        <f>(C29-C27)/2</f>
        <v>-1.4832564082523092E-5</v>
      </c>
      <c r="E28" s="41"/>
      <c r="F28" s="42"/>
      <c r="G28" s="38"/>
      <c r="H28" s="43">
        <f>H27+1</f>
        <v>1823.2573857134423</v>
      </c>
      <c r="I28" s="44">
        <f>2*PI()*H28/$B$5</f>
        <v>1.4205271381230491</v>
      </c>
      <c r="J28" s="44">
        <f>(SQRT(SUMSQ($E$12*SUMSQ(COS(I28))-$E$12*SUMSQ(SIN(I28))+$E$13*COS(I28)+$E$14)+SUMSQ(2*$E$12*COS(I28)*SIN(I28)+$E$13*(SIN(I28))))/SQRT(SUMSQ(SUMSQ(COS(I28))- SUMSQ(SIN(I28))+$E$15*COS(I28)+$E$16)+SUMSQ(2*COS(I28)*SIN(I28)+$E$15*(SIN(I28)))))/$C$32-2^-0.5</f>
        <v>2.3922732411632008E-3</v>
      </c>
      <c r="K28" s="45"/>
      <c r="L28" s="46"/>
      <c r="M28" s="31"/>
      <c r="N28" s="43">
        <f>N27+1</f>
        <v>2403.6026008762033</v>
      </c>
      <c r="O28" s="44">
        <f>2*PI()*N28/$B$5</f>
        <v>1.8726827877193759</v>
      </c>
      <c r="P28" s="44">
        <f>(SQRT(SUMSQ($E$12*SUMSQ(COS(O28))-$E$12*SUMSQ(SIN(O28))+$E$13*COS(O28)+$E$14)+SUMSQ(2*$E$12*COS(O28)*SIN(O28)+$E$13*(SIN(O28))))/SQRT(SUMSQ(SUMSQ(COS(O28))- SUMSQ(SIN(O28))+$E$15*COS(O28)+$E$16)+SUMSQ(2*COS(O28)*SIN(O28)+$E$15*(SIN(O28)))))/$C$32-2^-0.5</f>
        <v>-1.0523055812294846E-4</v>
      </c>
      <c r="Q28" s="45"/>
      <c r="R28" s="46"/>
    </row>
    <row r="29" spans="1:18" ht="15.75" thickBot="1" x14ac:dyDescent="0.3">
      <c r="A29" s="43">
        <f>A27+2</f>
        <v>2116.9338859162435</v>
      </c>
      <c r="B29" s="44">
        <f>2*PI()*A29/$B$5</f>
        <v>1.6493348981441813</v>
      </c>
      <c r="C29" s="44">
        <f>(SQRT(SUMSQ($E$12*SUMSQ(COS(B29))-$E$12*SUMSQ(SIN(B29))+$E$13*COS(B29)+$E$14)+SUMSQ(2*$E$12*COS(B29)*SIN(B29)+$E$13*(SIN(B29))))/SQRT(SUMSQ(SUMSQ(COS(B29))- SUMSQ(SIN(B29))+$E$15*COS(B29)+$E$16)+SUMSQ(2*COS(B29)*SIN(B29)+$E$15*(SIN(B29)))))</f>
        <v>1.3333036637809756</v>
      </c>
      <c r="D29" s="45"/>
      <c r="E29" s="45"/>
      <c r="F29" s="46"/>
      <c r="G29" s="38"/>
      <c r="H29" s="34">
        <f>H30-1</f>
        <v>1820.3248810790931</v>
      </c>
      <c r="I29" s="35">
        <f>2*PI()*H29/$B$5</f>
        <v>1.4182423798391084</v>
      </c>
      <c r="J29" s="35">
        <f>(SQRT(SUMSQ($E$12*SUMSQ(COS(I29))-$E$12*SUMSQ(SIN(I29))+$E$13*COS(I29)+$E$14)+SUMSQ(2*$E$12*COS(I29)*SIN(I29)+$E$13*(SIN(I29))))/SQRT(SUMSQ(SUMSQ(COS(I29))- SUMSQ(SIN(I29))+$E$15*COS(I29)+$E$16)+SUMSQ(2*COS(I29)*SIN(I29)+$E$15*(SIN(I29)))))/$C$32-2^-0.5</f>
        <v>-1.2341146849832452E-3</v>
      </c>
      <c r="K29" s="36"/>
      <c r="L29" s="37"/>
      <c r="M29" s="31"/>
      <c r="N29" s="34">
        <f>N30-1</f>
        <v>2402.5197699815863</v>
      </c>
      <c r="O29" s="35">
        <f>2*PI()*N29/$B$5</f>
        <v>1.8718391379506407</v>
      </c>
      <c r="P29" s="35">
        <f>(SQRT(SUMSQ($E$12*SUMSQ(COS(O29))-$E$12*SUMSQ(SIN(O29))+$E$13*COS(O29)+$E$14)+SUMSQ(2*$E$12*COS(O29)*SIN(O29)+$E$13*(SIN(O29))))/SQRT(SUMSQ(SUMSQ(COS(O29))- SUMSQ(SIN(O29))+$E$15*COS(O29)+$E$16)+SUMSQ(2*COS(O29)*SIN(O29)+$E$15*(SIN(O29)))))/$C$32-2^-0.5</f>
        <v>1.2810360710596713E-3</v>
      </c>
      <c r="Q29" s="36"/>
      <c r="R29" s="37"/>
    </row>
    <row r="30" spans="1:18" x14ac:dyDescent="0.25">
      <c r="A30" s="34">
        <f>A32-2</f>
        <v>2112.9579853043397</v>
      </c>
      <c r="B30" s="35">
        <f>2*PI()*A30/$B$5</f>
        <v>1.6462372144260489</v>
      </c>
      <c r="C30" s="35">
        <f>(SQRT(SUMSQ($E$12*SUMSQ(COS(B30))-$E$12*SUMSQ(SIN(B30))+$E$13*COS(B30)+$E$14)+SUMSQ(2*$E$12*COS(B30)*SIN(B30)+$E$13*(SIN(B30))))/SQRT(SUMSQ(SUMSQ(COS(B30))- SUMSQ(SIN(B30))+$E$15*COS(B30)+$E$16)+SUMSQ(2*COS(B30)*SIN(B30)+$E$15*(SIN(B30)))))</f>
        <v>1.3333029411052009</v>
      </c>
      <c r="D30" s="36"/>
      <c r="E30" s="36"/>
      <c r="F30" s="37"/>
      <c r="G30" s="38"/>
      <c r="H30" s="39">
        <f>L27</f>
        <v>1821.3248810790931</v>
      </c>
      <c r="I30" s="40">
        <f>2*PI()*H30/$B$5</f>
        <v>1.4190214948171989</v>
      </c>
      <c r="J30" s="40">
        <f>(SQRT(SUMSQ($E$12*SUMSQ(COS(I30))-$E$12*SUMSQ(SIN(I30))+$E$13*COS(I30)+$E$14)+SUMSQ(2*$E$12*COS(I30)*SIN(I30)+$E$13*(SIN(I30))))/SQRT(SUMSQ(SUMSQ(COS(I30))- SUMSQ(SIN(I30))+$E$15*COS(I30)+$E$16)+SUMSQ(2*COS(I30)*SIN(I30)+$E$15*(SIN(I30)))))/$C$32-2^-0.5</f>
        <v>7.7449363111714575E-7</v>
      </c>
      <c r="K30" s="41">
        <f>(J31-J29)/2</f>
        <v>1.2357855866158562E-3</v>
      </c>
      <c r="L30" s="42">
        <f>H30-J30/K30</f>
        <v>1821.3242543574033</v>
      </c>
      <c r="M30" s="31"/>
      <c r="N30" s="39">
        <f>R27</f>
        <v>2403.5197699815863</v>
      </c>
      <c r="O30" s="40">
        <f>2*PI()*N30/$B$5</f>
        <v>1.8726182529287312</v>
      </c>
      <c r="P30" s="40">
        <f>(SQRT(SUMSQ($E$12*SUMSQ(COS(O30))-$E$12*SUMSQ(SIN(O30))+$E$13*COS(O30)+$E$14)+SUMSQ(2*$E$12*COS(O30)*SIN(O30)+$E$13*(SIN(O30))))/SQRT(SUMSQ(SUMSQ(COS(O30))- SUMSQ(SIN(O30))+$E$15*COS(O30)+$E$16)+SUMSQ(2*COS(O30)*SIN(O30)+$E$15*(SIN(O30)))))/$C$32-2^-0.5</f>
        <v>7.3848373183249549E-7</v>
      </c>
      <c r="Q30" s="41">
        <f>(P31-P29)/2</f>
        <v>-1.2794130168126694E-3</v>
      </c>
      <c r="R30" s="42">
        <f>N30-P30/Q30</f>
        <v>2403.5203471866967</v>
      </c>
    </row>
    <row r="31" spans="1:18" ht="15.75" thickBot="1" x14ac:dyDescent="0.3">
      <c r="A31" s="39">
        <f>A32-1</f>
        <v>2113.9579853043397</v>
      </c>
      <c r="B31" s="40">
        <f>2*PI()*A31/$B$5</f>
        <v>1.6470163294041391</v>
      </c>
      <c r="C31" s="40">
        <f>(SQRT(SUMSQ($E$12*SUMSQ(COS(B31))-$E$12*SUMSQ(SIN(B31))+$E$13*COS(B31)+$E$14)+SUMSQ(2*$E$12*COS(B31)*SIN(B31)+$E$13*(SIN(B31))))/SQRT(SUMSQ(SUMSQ(COS(B31))- SUMSQ(SIN(B31))+$E$15*COS(B31)+$E$16)+SUMSQ(2*COS(B31)*SIN(B31)+$E$15*(SIN(B31)))))</f>
        <v>1.3333257344090075</v>
      </c>
      <c r="D31" s="41">
        <f>(C32-C30)/2</f>
        <v>1.5196114062976385E-5</v>
      </c>
      <c r="E31" s="41"/>
      <c r="F31" s="42"/>
      <c r="G31" s="38"/>
      <c r="H31" s="43">
        <f>H30+1</f>
        <v>1822.3248810790931</v>
      </c>
      <c r="I31" s="44">
        <f>2*PI()*H31/$B$5</f>
        <v>1.4198006097952889</v>
      </c>
      <c r="J31" s="44">
        <f>(SQRT(SUMSQ($E$12*SUMSQ(COS(I31))-$E$12*SUMSQ(SIN(I31))+$E$13*COS(I31)+$E$14)+SUMSQ(2*$E$12*COS(I31)*SIN(I31)+$E$13*(SIN(I31))))/SQRT(SUMSQ(SUMSQ(COS(I31))- SUMSQ(SIN(I31))+$E$15*COS(I31)+$E$16)+SUMSQ(2*COS(I31)*SIN(I31)+$E$15*(SIN(I31)))))/$C$32-2^-0.5</f>
        <v>1.2374564882484673E-3</v>
      </c>
      <c r="K31" s="45"/>
      <c r="L31" s="46"/>
      <c r="M31" s="31"/>
      <c r="N31" s="43">
        <f>N30+1</f>
        <v>2404.5197699815863</v>
      </c>
      <c r="O31" s="44">
        <f>2*PI()*N31/$B$5</f>
        <v>1.8733973679068214</v>
      </c>
      <c r="P31" s="44">
        <f>(SQRT(SUMSQ($E$12*SUMSQ(COS(O31))-$E$12*SUMSQ(SIN(O31))+$E$13*COS(O31)+$E$14)+SUMSQ(2*$E$12*COS(O31)*SIN(O31)+$E$13*(SIN(O31))))/SQRT(SUMSQ(SUMSQ(COS(O31))- SUMSQ(SIN(O31))+$E$15*COS(O31)+$E$16)+SUMSQ(2*COS(O31)*SIN(O31)+$E$15*(SIN(O31)))))/$C$32-2^-0.5</f>
        <v>-1.2777899625656675E-3</v>
      </c>
      <c r="Q31" s="45"/>
      <c r="R31" s="46"/>
    </row>
    <row r="32" spans="1:18" x14ac:dyDescent="0.25">
      <c r="A32" s="39">
        <f>F27</f>
        <v>2114.9579853043397</v>
      </c>
      <c r="B32" s="40">
        <f>2*PI()*A32/$B$5</f>
        <v>1.6477954443822294</v>
      </c>
      <c r="C32" s="40">
        <f>(SQRT(SUMSQ($E$12*SUMSQ(COS(B32))-$E$12*SUMSQ(SIN(B32))+$E$13*COS(B32)+$E$14)+SUMSQ(2*$E$12*COS(B32)*SIN(B32)+$E$13*(SIN(B32))))/SQRT(SUMSQ(SUMSQ(COS(B32))- SUMSQ(SIN(B32))+$E$15*COS(B32)+$E$16)+SUMSQ(2*COS(B32)*SIN(B32)+$E$15*(SIN(B32)))))</f>
        <v>1.3333333333333268</v>
      </c>
      <c r="D32" s="41">
        <f>(C33-C31)/2</f>
        <v>-6.7649219559484663E-12</v>
      </c>
      <c r="E32" s="41">
        <f>(D33-D31)/2</f>
        <v>-1.5197491065321866E-5</v>
      </c>
      <c r="F32" s="42">
        <f>A32-D32/E32</f>
        <v>2114.9579848592057</v>
      </c>
      <c r="G32" s="38"/>
      <c r="H32" s="34">
        <f>H33-1</f>
        <v>1820.3242543574033</v>
      </c>
      <c r="I32" s="35">
        <f>2*PI()*H32/$B$5</f>
        <v>1.4182418915508528</v>
      </c>
      <c r="J32" s="35">
        <f>(SQRT(SUMSQ($E$12*SUMSQ(COS(I32))-$E$12*SUMSQ(SIN(I32))+$E$13*COS(I32)+$E$14)+SUMSQ(2*$E$12*COS(I32)*SIN(I32)+$E$13*(SIN(I32))))/SQRT(SUMSQ(SUMSQ(COS(I32))- SUMSQ(SIN(I32))+$E$15*COS(I32)+$E$16)+SUMSQ(2*COS(I32)*SIN(I32)+$E$15*(SIN(I32)))))/$C$32-2^-0.5</f>
        <v>-1.2348880522484729E-3</v>
      </c>
      <c r="K32" s="36"/>
      <c r="L32" s="37"/>
      <c r="M32" s="31"/>
      <c r="N32" s="34">
        <f>N33-1</f>
        <v>2402.5203471866967</v>
      </c>
      <c r="O32" s="35">
        <f>2*PI()*N32/$B$5</f>
        <v>1.871839587659788</v>
      </c>
      <c r="P32" s="35">
        <f>(SQRT(SUMSQ($E$12*SUMSQ(COS(O32))-$E$12*SUMSQ(SIN(O32))+$E$13*COS(O32)+$E$14)+SUMSQ(2*$E$12*COS(O32)*SIN(O32)+$E$13*(SIN(O32))))/SQRT(SUMSQ(SUMSQ(COS(O32))- SUMSQ(SIN(O32))+$E$15*COS(O32)+$E$16)+SUMSQ(2*COS(O32)*SIN(O32)+$E$15*(SIN(O32)))))/$C$32-2^-0.5</f>
        <v>1.2802965690872359E-3</v>
      </c>
      <c r="Q32" s="36"/>
      <c r="R32" s="37"/>
    </row>
    <row r="33" spans="1:18" x14ac:dyDescent="0.25">
      <c r="A33" s="39">
        <f>A32+1</f>
        <v>2115.9579853043397</v>
      </c>
      <c r="B33" s="40">
        <f>2*PI()*A33/$B$5</f>
        <v>1.6485745593603196</v>
      </c>
      <c r="C33" s="40">
        <f>(SQRT(SUMSQ($E$12*SUMSQ(COS(B33))-$E$12*SUMSQ(SIN(B33))+$E$13*COS(B33)+$E$14)+SUMSQ(2*$E$12*COS(B33)*SIN(B33)+$E$13*(SIN(B33))))/SQRT(SUMSQ(SUMSQ(COS(B33))- SUMSQ(SIN(B33))+$E$15*COS(B33)+$E$16)+SUMSQ(2*COS(B33)*SIN(B33)+$E$15*(SIN(B33)))))</f>
        <v>1.3333257343954776</v>
      </c>
      <c r="D33" s="41">
        <f>(C34-C32)/2</f>
        <v>-1.5198868067667348E-5</v>
      </c>
      <c r="E33" s="41"/>
      <c r="F33" s="42"/>
      <c r="G33" s="38"/>
      <c r="H33" s="39">
        <f>L30</f>
        <v>1821.3242543574033</v>
      </c>
      <c r="I33" s="40">
        <f>2*PI()*H33/$B$5</f>
        <v>1.4190210065289433</v>
      </c>
      <c r="J33" s="40">
        <f>(SQRT(SUMSQ($E$12*SUMSQ(COS(I33))-$E$12*SUMSQ(SIN(I33))+$E$13*COS(I33)+$E$14)+SUMSQ(2*$E$12*COS(I33)*SIN(I33)+$E$13*(SIN(I33))))/SQRT(SUMSQ(SUMSQ(COS(I33))- SUMSQ(SIN(I33))+$E$15*COS(I33)+$E$16)+SUMSQ(2*COS(I33)*SIN(I33)+$E$15*(SIN(I33)))))/$C$32-2^-0.5</f>
        <v>-8.6131102250419644E-13</v>
      </c>
      <c r="K33" s="41">
        <f>(J34-J32)/2</f>
        <v>1.2357844630289661E-3</v>
      </c>
      <c r="L33" s="42">
        <f>H33-J33/K33</f>
        <v>1821.3242543581002</v>
      </c>
      <c r="M33" s="31"/>
      <c r="N33" s="39">
        <f>R30</f>
        <v>2403.5203471866967</v>
      </c>
      <c r="O33" s="40">
        <f>2*PI()*N33/$B$5</f>
        <v>1.872618702637878</v>
      </c>
      <c r="P33" s="40">
        <f>(SQRT(SUMSQ($E$12*SUMSQ(COS(O33))-$E$12*SUMSQ(SIN(O33))+$E$13*COS(O33)+$E$14)+SUMSQ(2*$E$12*COS(O33)*SIN(O33)+$E$13*(SIN(O33))))/SQRT(SUMSQ(SUMSQ(COS(O33))- SUMSQ(SIN(O33))+$E$15*COS(O33)+$E$16)+SUMSQ(2*COS(O33)*SIN(O33)+$E$15*(SIN(O33)))))/$C$32-2^-0.5</f>
        <v>-1.0109690862236675E-12</v>
      </c>
      <c r="Q33" s="41">
        <f>(P34-P32)/2</f>
        <v>-1.2794119956650585E-3</v>
      </c>
      <c r="R33" s="42">
        <f>N33-P33/Q33</f>
        <v>2403.5203471859063</v>
      </c>
    </row>
    <row r="34" spans="1:18" ht="15.75" thickBot="1" x14ac:dyDescent="0.3">
      <c r="A34" s="43">
        <f>A32+2</f>
        <v>2116.9579853043397</v>
      </c>
      <c r="B34" s="44">
        <f>2*PI()*A34/$B$5</f>
        <v>1.6493536743384098</v>
      </c>
      <c r="C34" s="44">
        <f>(SQRT(SUMSQ($E$12*SUMSQ(COS(B34))-$E$12*SUMSQ(SIN(B34))+$E$13*COS(B34)+$E$14)+SUMSQ(2*$E$12*COS(B34)*SIN(B34)+$E$13*(SIN(B34))))/SQRT(SUMSQ(SUMSQ(COS(B34))- SUMSQ(SIN(B34))+$E$15*COS(B34)+$E$16)+SUMSQ(2*COS(B34)*SIN(B34)+$E$15*(SIN(B34)))))</f>
        <v>1.3333029355971915</v>
      </c>
      <c r="D34" s="45"/>
      <c r="E34" s="45"/>
      <c r="F34" s="46"/>
      <c r="G34" s="38"/>
      <c r="H34" s="43">
        <f>H33+1</f>
        <v>1822.3242543574033</v>
      </c>
      <c r="I34" s="44">
        <f>2*PI()*H34/$B$5</f>
        <v>1.4198001215070335</v>
      </c>
      <c r="J34" s="44">
        <f>(SQRT(SUMSQ($E$12*SUMSQ(COS(I34))-$E$12*SUMSQ(SIN(I34))+$E$13*COS(I34)+$E$14)+SUMSQ(2*$E$12*COS(I34)*SIN(I34)+$E$13*(SIN(I34))))/SQRT(SUMSQ(SUMSQ(COS(I34))- SUMSQ(SIN(I34))+$E$15*COS(I34)+$E$16)+SUMSQ(2*COS(I34)*SIN(I34)+$E$15*(SIN(I34)))))/$C$32-2^-0.5</f>
        <v>1.2366808738094592E-3</v>
      </c>
      <c r="K34" s="45"/>
      <c r="L34" s="46"/>
      <c r="M34" s="31"/>
      <c r="N34" s="43">
        <f>N33+1</f>
        <v>2404.5203471866967</v>
      </c>
      <c r="O34" s="44">
        <f>2*PI()*N34/$B$5</f>
        <v>1.8733978176159685</v>
      </c>
      <c r="P34" s="44">
        <f>(SQRT(SUMSQ($E$12*SUMSQ(COS(O34))-$E$12*SUMSQ(SIN(O34))+$E$13*COS(O34)+$E$14)+SUMSQ(2*$E$12*COS(O34)*SIN(O34)+$E$13*(SIN(O34))))/SQRT(SUMSQ(SUMSQ(COS(O34))- SUMSQ(SIN(O34))+$E$15*COS(O34)+$E$16)+SUMSQ(2*COS(O34)*SIN(O34)+$E$15*(SIN(O34)))))/$C$32-2^-0.5</f>
        <v>-1.2785274222428811E-3</v>
      </c>
      <c r="Q34" s="45"/>
      <c r="R34" s="46"/>
    </row>
    <row r="35" spans="1:18" x14ac:dyDescent="0.25">
      <c r="G35" s="12"/>
    </row>
    <row r="36" spans="1:18" x14ac:dyDescent="0.25">
      <c r="G36" s="12"/>
    </row>
    <row r="37" spans="1:18" x14ac:dyDescent="0.25">
      <c r="G37" s="12"/>
    </row>
    <row r="38" spans="1:18" x14ac:dyDescent="0.25">
      <c r="G38" s="12"/>
    </row>
    <row r="39" spans="1:18" x14ac:dyDescent="0.25">
      <c r="G39" s="12"/>
    </row>
    <row r="40" spans="1:18" x14ac:dyDescent="0.25">
      <c r="B40"/>
      <c r="C40" s="23"/>
    </row>
    <row r="41" spans="1:18" x14ac:dyDescent="0.25">
      <c r="B41"/>
      <c r="C41" s="23"/>
    </row>
  </sheetData>
  <mergeCells count="7">
    <mergeCell ref="A1:O1"/>
    <mergeCell ref="J2:N2"/>
    <mergeCell ref="A3:B3"/>
    <mergeCell ref="D3:E3"/>
    <mergeCell ref="G3:H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 Coefficients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AlanX</dc:creator>
  <cp:lastModifiedBy>AlanX</cp:lastModifiedBy>
  <dcterms:created xsi:type="dcterms:W3CDTF">2017-02-12T03:12:05Z</dcterms:created>
  <dcterms:modified xsi:type="dcterms:W3CDTF">2017-02-12T12:32:28Z</dcterms:modified>
</cp:coreProperties>
</file>