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-15" yWindow="-15" windowWidth="20520" windowHeight="4065" activeTab="2"/>
  </bookViews>
  <sheets>
    <sheet name="CSV" sheetId="11" r:id="rId1"/>
    <sheet name="Mini-Kayak" sheetId="15" r:id="rId2"/>
    <sheet name="Mini-Kayak Basic Calcs" sheetId="14" r:id="rId3"/>
    <sheet name="Hearts Desire II" sheetId="1" r:id="rId4"/>
    <sheet name="Hearts Desire II Basic Calcs" sheetId="5" r:id="rId5"/>
    <sheet name="Plywood" sheetId="26" r:id="rId6"/>
  </sheets>
  <externalReferences>
    <externalReference r:id="rId7"/>
    <externalReference r:id="rId8"/>
    <externalReference r:id="rId9"/>
  </externalReferences>
  <definedNames>
    <definedName name="__123Graph_A" localSheetId="4" hidden="1">'[1]NACA 0012'!$D$3:$D$13</definedName>
    <definedName name="__123Graph_A" localSheetId="2" hidden="1">'[2]NACA 0012'!$D$3:$D$13</definedName>
    <definedName name="__123Graph_A" hidden="1">'[3]NACA 0012'!$D$3:$D$13</definedName>
    <definedName name="_xlnm._FilterDatabase" localSheetId="3" hidden="1">'Hearts Desire II'!$A$2:$O$54</definedName>
    <definedName name="_xlnm._FilterDatabase" localSheetId="1" hidden="1">'Mini-Kayak'!$A$2:$O$44</definedName>
  </definedNames>
  <calcPr calcId="145621"/>
</workbook>
</file>

<file path=xl/calcChain.xml><?xml version="1.0" encoding="utf-8"?>
<calcChain xmlns="http://schemas.openxmlformats.org/spreadsheetml/2006/main">
  <c r="C72" i="14" l="1"/>
  <c r="C70" i="14"/>
  <c r="Q5" i="15"/>
  <c r="Q4" i="15"/>
  <c r="Q3" i="15"/>
  <c r="F16" i="26" l="1"/>
  <c r="G16" i="26" s="1"/>
  <c r="F20" i="26"/>
  <c r="G19" i="26"/>
  <c r="G20" i="26" s="1"/>
  <c r="G14" i="26"/>
  <c r="C14" i="26"/>
  <c r="C26" i="5" s="1"/>
  <c r="B14" i="26"/>
  <c r="H11" i="26"/>
  <c r="B20" i="26" s="1"/>
  <c r="C20" i="26" s="1"/>
  <c r="G11" i="26"/>
  <c r="B19" i="26" s="1"/>
  <c r="F11" i="26"/>
  <c r="B18" i="26" s="1"/>
  <c r="C18" i="26" s="1"/>
  <c r="E11" i="26"/>
  <c r="B17" i="26" s="1"/>
  <c r="C17" i="26" s="1"/>
  <c r="D11" i="26"/>
  <c r="B16" i="26" s="1"/>
  <c r="C16" i="26" s="1"/>
  <c r="C11" i="26"/>
  <c r="B15" i="26" s="1"/>
  <c r="C15" i="26" s="1"/>
  <c r="D5" i="26"/>
  <c r="D4" i="26"/>
  <c r="D3" i="26"/>
  <c r="B21" i="26" l="1"/>
  <c r="C21" i="26" s="1"/>
  <c r="C19" i="26"/>
  <c r="C29" i="5" s="1"/>
  <c r="L7" i="1" l="1"/>
  <c r="B34" i="1"/>
  <c r="DO34" i="1"/>
  <c r="DJ34" i="1"/>
  <c r="DE34" i="1"/>
  <c r="CZ34" i="1"/>
  <c r="CU34" i="1"/>
  <c r="CP34" i="1"/>
  <c r="CK34" i="1"/>
  <c r="CF34" i="1"/>
  <c r="CA34" i="1"/>
  <c r="BV34" i="1"/>
  <c r="BQ34" i="1"/>
  <c r="BL34" i="1"/>
  <c r="BG34" i="1"/>
  <c r="BB34" i="1"/>
  <c r="AW34" i="1"/>
  <c r="AR34" i="1"/>
  <c r="AM34" i="1"/>
  <c r="AH34" i="1"/>
  <c r="AC34" i="1"/>
  <c r="X34" i="1"/>
  <c r="S34" i="1"/>
  <c r="N34" i="1"/>
  <c r="I34" i="1"/>
  <c r="D34" i="1"/>
  <c r="Q12" i="15"/>
  <c r="C12" i="14" s="1"/>
  <c r="Q11" i="15"/>
  <c r="C11" i="14" s="1"/>
  <c r="Q10" i="15"/>
  <c r="Q9" i="15"/>
  <c r="C9" i="14" s="1"/>
  <c r="Q8" i="15"/>
  <c r="C8" i="14" s="1"/>
  <c r="Q7" i="15"/>
  <c r="C7" i="14" s="1"/>
  <c r="Q6" i="15"/>
  <c r="C5" i="14"/>
  <c r="C21" i="14" s="1"/>
  <c r="C4" i="14"/>
  <c r="C3" i="14"/>
  <c r="C69" i="14"/>
  <c r="C74" i="14" s="1"/>
  <c r="C68" i="14"/>
  <c r="C65" i="14"/>
  <c r="C63" i="14"/>
  <c r="C52" i="14"/>
  <c r="C42" i="14"/>
  <c r="C40" i="14" s="1"/>
  <c r="C35" i="14"/>
  <c r="C32" i="14"/>
  <c r="C31" i="14"/>
  <c r="C10" i="14"/>
  <c r="C6" i="14"/>
  <c r="C27" i="14" s="1"/>
  <c r="C73" i="14" l="1"/>
  <c r="C51" i="14"/>
  <c r="C53" i="14" s="1"/>
  <c r="C49" i="14"/>
  <c r="C47" i="14"/>
  <c r="C45" i="14"/>
  <c r="C46" i="14"/>
  <c r="C48" i="14" s="1"/>
  <c r="C54" i="14" s="1"/>
  <c r="C16" i="14"/>
  <c r="C15" i="14"/>
  <c r="C17" i="14"/>
  <c r="C62" i="14"/>
  <c r="C18" i="14" l="1"/>
  <c r="C20" i="14" s="1"/>
  <c r="C19" i="14"/>
  <c r="C55" i="14"/>
  <c r="C56" i="14" s="1"/>
  <c r="C57" i="14" s="1"/>
  <c r="C23" i="14" l="1"/>
  <c r="C61" i="14" l="1"/>
  <c r="C64" i="14" s="1"/>
  <c r="C26" i="14"/>
  <c r="C33" i="14" l="1"/>
  <c r="C34" i="14" s="1"/>
  <c r="C29" i="14"/>
  <c r="L11" i="1" l="1"/>
  <c r="L10" i="1"/>
  <c r="L9" i="1"/>
  <c r="L8" i="1"/>
  <c r="L6" i="1"/>
  <c r="L5" i="1"/>
  <c r="L4" i="1"/>
  <c r="L3" i="1"/>
  <c r="CF22" i="1"/>
  <c r="CK22" i="1"/>
  <c r="DE22" i="1"/>
  <c r="CZ22" i="1"/>
  <c r="CU22" i="1"/>
  <c r="CT22" i="1"/>
  <c r="CP22" i="1"/>
  <c r="DE21" i="1"/>
  <c r="CK21" i="1"/>
  <c r="CU21" i="1"/>
  <c r="CZ25" i="1"/>
  <c r="CU25" i="1"/>
  <c r="CP25" i="1"/>
  <c r="DE25" i="1"/>
  <c r="CT25" i="1"/>
  <c r="CK25" i="1"/>
  <c r="CT26" i="1"/>
  <c r="CO27" i="1"/>
  <c r="CP27" i="1"/>
  <c r="CU26" i="1"/>
  <c r="DJ27" i="1"/>
  <c r="DJ26" i="1"/>
  <c r="CJ27" i="1"/>
  <c r="CY27" i="1" s="1"/>
  <c r="BZ23" i="1"/>
  <c r="CA23" i="1"/>
  <c r="CF21" i="1"/>
  <c r="BZ26" i="1"/>
  <c r="BZ25" i="1"/>
  <c r="BU23" i="1"/>
  <c r="BU25" i="1"/>
  <c r="BU26" i="1"/>
  <c r="BP26" i="1"/>
  <c r="BP25" i="1"/>
  <c r="BP23" i="1"/>
  <c r="BK23" i="1"/>
  <c r="BK25" i="1"/>
  <c r="BK26" i="1"/>
  <c r="BF23" i="1"/>
  <c r="BF25" i="1"/>
  <c r="BF26" i="1"/>
  <c r="BA23" i="1"/>
  <c r="BA25" i="1"/>
  <c r="BA26" i="1"/>
  <c r="AV25" i="1"/>
  <c r="AV26" i="1"/>
  <c r="BZ22" i="1"/>
  <c r="BU27" i="1"/>
  <c r="BU22" i="1"/>
  <c r="BP27" i="1"/>
  <c r="BP22" i="1"/>
  <c r="BK27" i="1"/>
  <c r="BK22" i="1"/>
  <c r="BF27" i="1"/>
  <c r="BF22" i="1"/>
  <c r="BA22" i="1"/>
  <c r="BA27" i="1"/>
  <c r="AV27" i="1"/>
  <c r="AQ26" i="1"/>
  <c r="AQ25" i="1"/>
  <c r="AQ23" i="1"/>
  <c r="AL23" i="1"/>
  <c r="AL25" i="1"/>
  <c r="AL26" i="1"/>
  <c r="AG22" i="1"/>
  <c r="AG23" i="1"/>
  <c r="AG25" i="1"/>
  <c r="AG26" i="1"/>
  <c r="AB27" i="1"/>
  <c r="AW26" i="1"/>
  <c r="AW25" i="1"/>
  <c r="DO24" i="1"/>
  <c r="DN24" i="1"/>
  <c r="D24" i="1"/>
  <c r="C24" i="1"/>
  <c r="AM23" i="1"/>
  <c r="AM26" i="1"/>
  <c r="AM25" i="1"/>
  <c r="AR26" i="1"/>
  <c r="AH26" i="1"/>
  <c r="BQ26" i="1"/>
  <c r="BV26" i="1"/>
  <c r="AW27" i="1"/>
  <c r="BB27" i="1"/>
  <c r="BB26" i="1"/>
  <c r="BG26" i="1"/>
  <c r="BL26" i="1"/>
  <c r="DO25" i="1"/>
  <c r="DN25" i="1"/>
  <c r="CA25" i="1"/>
  <c r="BV25" i="1"/>
  <c r="BQ25" i="1"/>
  <c r="BL25" i="1"/>
  <c r="BG25" i="1"/>
  <c r="BB25" i="1"/>
  <c r="AR25" i="1"/>
  <c r="AH25" i="1"/>
  <c r="AC25" i="1"/>
  <c r="X25" i="1"/>
  <c r="S25" i="1"/>
  <c r="N25" i="1"/>
  <c r="I25" i="1"/>
  <c r="D25" i="1"/>
  <c r="C25" i="1"/>
  <c r="DO26" i="1" l="1"/>
  <c r="DN26" i="1"/>
  <c r="DE26" i="1"/>
  <c r="CZ26" i="1"/>
  <c r="CP26" i="1"/>
  <c r="CK26" i="1"/>
  <c r="CF26" i="1"/>
  <c r="CA26" i="1"/>
  <c r="AC26" i="1"/>
  <c r="X26" i="1"/>
  <c r="S26" i="1"/>
  <c r="N26" i="1"/>
  <c r="I26" i="1"/>
  <c r="D26" i="1"/>
  <c r="C26" i="1"/>
  <c r="N28" i="1"/>
  <c r="CE22" i="1"/>
  <c r="DO21" i="1" l="1"/>
  <c r="DN21" i="1"/>
  <c r="DO22" i="1"/>
  <c r="DN22" i="1"/>
  <c r="DO23" i="1"/>
  <c r="DN23" i="1"/>
  <c r="DO32" i="1"/>
  <c r="DN32" i="1"/>
  <c r="DO31" i="1"/>
  <c r="DN31" i="1"/>
  <c r="DO30" i="1"/>
  <c r="DN30" i="1"/>
  <c r="DO29" i="1"/>
  <c r="DN29" i="1"/>
  <c r="D32" i="1"/>
  <c r="C32" i="1"/>
  <c r="D31" i="1"/>
  <c r="C31" i="1"/>
  <c r="D30" i="1"/>
  <c r="C30" i="1"/>
  <c r="D23" i="1"/>
  <c r="C23" i="1"/>
  <c r="D22" i="1"/>
  <c r="C22" i="1"/>
  <c r="D21" i="1"/>
  <c r="C21" i="1"/>
  <c r="X27" i="1" l="1"/>
  <c r="AC27" i="1"/>
  <c r="BG27" i="1"/>
  <c r="BL27" i="1"/>
  <c r="BQ27" i="1"/>
  <c r="BV27" i="1"/>
  <c r="CK27" i="1"/>
  <c r="CZ27" i="1"/>
  <c r="DE27" i="1"/>
  <c r="N27" i="1"/>
  <c r="S27" i="1"/>
  <c r="B7" i="1"/>
  <c r="I27" i="1"/>
  <c r="CA22" i="1" l="1"/>
  <c r="BV22" i="1"/>
  <c r="BV23" i="1"/>
  <c r="AH23" i="1"/>
  <c r="AR23" i="1"/>
  <c r="AC21" i="1"/>
  <c r="BL21" i="1"/>
  <c r="BG22" i="1"/>
  <c r="BQ22" i="1"/>
  <c r="AC22" i="1"/>
  <c r="BG21" i="1"/>
  <c r="BQ21" i="1"/>
  <c r="BB22" i="1"/>
  <c r="BL22" i="1"/>
  <c r="AH22" i="1"/>
  <c r="AC30" i="1"/>
  <c r="AB30" i="1"/>
  <c r="CQ32" i="1" l="1"/>
  <c r="CD32" i="1"/>
  <c r="CB32" i="1"/>
  <c r="BY32" i="1"/>
  <c r="BW32" i="1"/>
  <c r="BR32" i="1"/>
  <c r="BO32" i="1"/>
  <c r="BM32" i="1"/>
  <c r="BJ32" i="1"/>
  <c r="BH32" i="1"/>
  <c r="BE32" i="1"/>
  <c r="AX32" i="1"/>
  <c r="AS32" i="1"/>
  <c r="AP32" i="1"/>
  <c r="AN32" i="1"/>
  <c r="AK32" i="1"/>
  <c r="AI32" i="1"/>
  <c r="AF32" i="1"/>
  <c r="AD32" i="1"/>
  <c r="CP31" i="1"/>
  <c r="CP32" i="1" s="1"/>
  <c r="CO31" i="1"/>
  <c r="CF31" i="1"/>
  <c r="CF32" i="1" s="1"/>
  <c r="CE31" i="1"/>
  <c r="CA31" i="1"/>
  <c r="CA32" i="1" s="1"/>
  <c r="BZ31" i="1"/>
  <c r="BV31" i="1"/>
  <c r="BV32" i="1" s="1"/>
  <c r="BU31" i="1"/>
  <c r="BQ31" i="1"/>
  <c r="BQ32" i="1" s="1"/>
  <c r="BP31" i="1"/>
  <c r="BL31" i="1"/>
  <c r="BL32" i="1" s="1"/>
  <c r="BK31" i="1"/>
  <c r="BG31" i="1"/>
  <c r="BG32" i="1" s="1"/>
  <c r="BF31" i="1"/>
  <c r="AW31" i="1"/>
  <c r="AW32" i="1" s="1"/>
  <c r="AV31" i="1"/>
  <c r="AR31" i="1"/>
  <c r="AR32" i="1" s="1"/>
  <c r="AQ31" i="1"/>
  <c r="AM31" i="1"/>
  <c r="AM32" i="1" s="1"/>
  <c r="AL31" i="1"/>
  <c r="AH31" i="1"/>
  <c r="AH32" i="1" s="1"/>
  <c r="AG31" i="1"/>
  <c r="AC31" i="1"/>
  <c r="AC32" i="1" s="1"/>
  <c r="AB31" i="1"/>
  <c r="DF30" i="1"/>
  <c r="DC30" i="1"/>
  <c r="CP30" i="1"/>
  <c r="CO30" i="1"/>
  <c r="CK30" i="1"/>
  <c r="CJ30" i="1"/>
  <c r="CF30" i="1"/>
  <c r="CE30" i="1"/>
  <c r="CA30" i="1"/>
  <c r="BZ30" i="1"/>
  <c r="BV30" i="1"/>
  <c r="BU30" i="1"/>
  <c r="BQ30" i="1"/>
  <c r="BP30" i="1"/>
  <c r="BL30" i="1"/>
  <c r="BK30" i="1"/>
  <c r="BG30" i="1"/>
  <c r="BF30" i="1"/>
  <c r="AW30" i="1"/>
  <c r="AV30" i="1"/>
  <c r="AR30" i="1"/>
  <c r="AQ30" i="1"/>
  <c r="AM30" i="1"/>
  <c r="AL30" i="1"/>
  <c r="AH30" i="1"/>
  <c r="AG30" i="1"/>
  <c r="J30" i="1"/>
  <c r="G30" i="1"/>
  <c r="DE29" i="1"/>
  <c r="DE30" i="1" s="1"/>
  <c r="DD29" i="1"/>
  <c r="DD30" i="1" s="1"/>
  <c r="CZ29" i="1"/>
  <c r="CY29" i="1"/>
  <c r="CP29" i="1"/>
  <c r="CO29" i="1"/>
  <c r="CK29" i="1"/>
  <c r="CJ29" i="1"/>
  <c r="CF29" i="1"/>
  <c r="CE29" i="1"/>
  <c r="CA29" i="1"/>
  <c r="BZ29" i="1"/>
  <c r="BV29" i="1"/>
  <c r="BU29" i="1"/>
  <c r="BQ29" i="1"/>
  <c r="BP29" i="1"/>
  <c r="BL29" i="1"/>
  <c r="BK29" i="1"/>
  <c r="BG29" i="1"/>
  <c r="BF29" i="1"/>
  <c r="AW29" i="1"/>
  <c r="AV29" i="1"/>
  <c r="AR29" i="1"/>
  <c r="AQ29" i="1"/>
  <c r="AM29" i="1"/>
  <c r="AL29" i="1"/>
  <c r="AH29" i="1"/>
  <c r="AG29" i="1"/>
  <c r="AC29" i="1"/>
  <c r="AB29" i="1"/>
  <c r="X29" i="1"/>
  <c r="W29" i="1"/>
  <c r="S29" i="1"/>
  <c r="R29" i="1"/>
  <c r="N29" i="1"/>
  <c r="M29" i="1"/>
  <c r="I29" i="1"/>
  <c r="I30" i="1" s="1"/>
  <c r="N30" i="1" s="1"/>
  <c r="S30" i="1" s="1"/>
  <c r="X30" i="1" s="1"/>
  <c r="H29" i="1"/>
  <c r="H30" i="1" s="1"/>
  <c r="E29" i="1"/>
  <c r="B29" i="1"/>
  <c r="C29" i="1" s="1"/>
  <c r="DO28" i="1"/>
  <c r="DN28" i="1"/>
  <c r="DE28" i="1"/>
  <c r="DD28" i="1"/>
  <c r="CZ28" i="1"/>
  <c r="CY28" i="1"/>
  <c r="CP28" i="1"/>
  <c r="CO28" i="1"/>
  <c r="CK28" i="1"/>
  <c r="CJ28" i="1"/>
  <c r="CF28" i="1"/>
  <c r="CE28" i="1"/>
  <c r="CA28" i="1"/>
  <c r="BZ28" i="1"/>
  <c r="BV28" i="1"/>
  <c r="BU28" i="1"/>
  <c r="BQ28" i="1"/>
  <c r="BP28" i="1"/>
  <c r="BL28" i="1"/>
  <c r="BK28" i="1"/>
  <c r="BG28" i="1"/>
  <c r="BF28" i="1"/>
  <c r="AW28" i="1"/>
  <c r="AV28" i="1"/>
  <c r="AR28" i="1"/>
  <c r="AQ28" i="1"/>
  <c r="AM28" i="1"/>
  <c r="AL28" i="1"/>
  <c r="AH28" i="1"/>
  <c r="AG28" i="1"/>
  <c r="AC28" i="1"/>
  <c r="AB28" i="1"/>
  <c r="S28" i="1"/>
  <c r="R28" i="1"/>
  <c r="M28" i="1"/>
  <c r="I28" i="1"/>
  <c r="H28" i="1"/>
  <c r="D28" i="1"/>
  <c r="C28" i="1"/>
  <c r="DO27" i="1"/>
  <c r="DN27" i="1"/>
  <c r="M27" i="1"/>
  <c r="R27" i="1" s="1"/>
  <c r="W27" i="1" s="1"/>
  <c r="D27" i="1"/>
  <c r="C27" i="1"/>
  <c r="BQ23" i="1"/>
  <c r="BG23" i="1"/>
  <c r="BB23" i="1" l="1"/>
  <c r="BL23" i="1"/>
  <c r="D29" i="1"/>
  <c r="C10" i="5" l="1"/>
  <c r="C8" i="5"/>
  <c r="C7" i="5"/>
  <c r="C5" i="5"/>
  <c r="C3" i="5"/>
  <c r="C9" i="5"/>
  <c r="C6" i="5"/>
  <c r="C4" i="5"/>
  <c r="E21" i="5" l="1"/>
  <c r="C15" i="5"/>
  <c r="C16" i="5"/>
  <c r="C19" i="5" l="1"/>
  <c r="C33" i="5"/>
  <c r="C30" i="5"/>
  <c r="C13" i="5" l="1"/>
  <c r="C18" i="5"/>
  <c r="C14" i="5"/>
  <c r="C21" i="5" s="1"/>
  <c r="C24" i="5" l="1"/>
  <c r="C31" i="5" s="1"/>
  <c r="C17" i="5"/>
  <c r="C32" i="5" l="1"/>
  <c r="C27" i="5"/>
</calcChain>
</file>

<file path=xl/sharedStrings.xml><?xml version="1.0" encoding="utf-8"?>
<sst xmlns="http://schemas.openxmlformats.org/spreadsheetml/2006/main" count="498" uniqueCount="176">
  <si>
    <t>Chine</t>
  </si>
  <si>
    <t>X</t>
  </si>
  <si>
    <t>Y</t>
  </si>
  <si>
    <t>Z</t>
  </si>
  <si>
    <t>Stations</t>
  </si>
  <si>
    <t>Chines</t>
  </si>
  <si>
    <t>mm</t>
  </si>
  <si>
    <t>Find Offet Table at row</t>
  </si>
  <si>
    <t>Length Overall (LOA)</t>
  </si>
  <si>
    <t>m</t>
  </si>
  <si>
    <t>Beam Overall (BOA)</t>
  </si>
  <si>
    <t>Length Water Line (LWL)</t>
  </si>
  <si>
    <t>Beam Water Line (BWL)</t>
  </si>
  <si>
    <t>Actually the bottom width</t>
  </si>
  <si>
    <t>Depth Water Line (DWL)</t>
  </si>
  <si>
    <t>Amidships Freeboard</t>
  </si>
  <si>
    <t>Forward Freeboard</t>
  </si>
  <si>
    <t>Rear Freeboard</t>
  </si>
  <si>
    <t>Basic Calculations</t>
  </si>
  <si>
    <t>Mid-Section Area</t>
  </si>
  <si>
    <t>m^2</t>
  </si>
  <si>
    <t>Displacement Volume</t>
  </si>
  <si>
    <t>m^3</t>
  </si>
  <si>
    <t>Displacement Weight</t>
  </si>
  <si>
    <t>kg</t>
  </si>
  <si>
    <t>Prismatic Coefficient (cp)</t>
  </si>
  <si>
    <t>Displacement Length Ratio (DLR)</t>
  </si>
  <si>
    <t>Hull Speed</t>
  </si>
  <si>
    <t>kt</t>
  </si>
  <si>
    <t>Design G Force</t>
  </si>
  <si>
    <t>g</t>
  </si>
  <si>
    <t>Design Pressure</t>
  </si>
  <si>
    <t>Bottom Plank Design</t>
  </si>
  <si>
    <t>Design Pressure (P)</t>
  </si>
  <si>
    <t>kPa</t>
  </si>
  <si>
    <t>Span (L)</t>
  </si>
  <si>
    <t>BWL</t>
  </si>
  <si>
    <t>Allowable Stress (S)</t>
  </si>
  <si>
    <t>Plank Thickness (t)</t>
  </si>
  <si>
    <t>t^2=P*L^2/2/S, ~fixed sides</t>
  </si>
  <si>
    <t>Design Plank Thickness (t)</t>
  </si>
  <si>
    <t>Modulus of Elasticity (E)</t>
  </si>
  <si>
    <t>Factored 80% for wet condition</t>
  </si>
  <si>
    <t>Moment of Inertia (I)</t>
  </si>
  <si>
    <t>mm^4</t>
  </si>
  <si>
    <t>Deflection (d)</t>
  </si>
  <si>
    <t>d=P*L^4/384EI (2% max)</t>
  </si>
  <si>
    <t>Deflection Ratio</t>
  </si>
  <si>
    <t>Maximum Concentrated Load</t>
  </si>
  <si>
    <t>kN</t>
  </si>
  <si>
    <t>=S*t*t</t>
  </si>
  <si>
    <t>Nm</t>
  </si>
  <si>
    <t>mm^3</t>
  </si>
  <si>
    <t>Safety Factor</t>
  </si>
  <si>
    <t>Side Plank Design</t>
  </si>
  <si>
    <t>Okay</t>
  </si>
  <si>
    <t>Plywood Fibre Glass Joins</t>
  </si>
  <si>
    <t>Spw</t>
  </si>
  <si>
    <t>Pa</t>
  </si>
  <si>
    <t>h</t>
  </si>
  <si>
    <t>M</t>
  </si>
  <si>
    <t>M=Spw*b*h^2/6</t>
  </si>
  <si>
    <t>Sfg</t>
  </si>
  <si>
    <t>t</t>
  </si>
  <si>
    <t>t~((6*M*h/Sfg/b+h^3)^(1/3)-h)/2</t>
  </si>
  <si>
    <t>F/G Weight</t>
  </si>
  <si>
    <t>oz/sq_yd</t>
  </si>
  <si>
    <t>Each side of plywood</t>
  </si>
  <si>
    <t>F/G Overlap (each side of join)</t>
  </si>
  <si>
    <t>=3*h [JS = 15%*(1+L/h)]</t>
  </si>
  <si>
    <t>BREAK</t>
  </si>
  <si>
    <t>COLOUR</t>
  </si>
  <si>
    <t>Heart's Desire II</t>
  </si>
  <si>
    <t>Basic Metrics</t>
  </si>
  <si>
    <t>Water Line Plan Area</t>
  </si>
  <si>
    <t>Sail boat (&gt;2 g)</t>
  </si>
  <si>
    <t>Break</t>
  </si>
  <si>
    <t>Colour</t>
  </si>
  <si>
    <t>Sheer</t>
  </si>
  <si>
    <t>Sole Top</t>
  </si>
  <si>
    <t>Sole Bottom</t>
  </si>
  <si>
    <t>Centre Line</t>
  </si>
  <si>
    <t>Deck</t>
  </si>
  <si>
    <t>Coach House Top</t>
  </si>
  <si>
    <t>Coach House Side</t>
  </si>
  <si>
    <t>Cabin Slope</t>
  </si>
  <si>
    <t>Deck Lift</t>
  </si>
  <si>
    <t>degrees</t>
  </si>
  <si>
    <t>Top Centre Line</t>
  </si>
  <si>
    <t>Cabin Lift</t>
  </si>
  <si>
    <t>Coach House Top Edge</t>
  </si>
  <si>
    <t>Coach House Bottom</t>
  </si>
  <si>
    <t>Cockpit Depth</t>
  </si>
  <si>
    <t>Heart's Desire II Basic Metrics</t>
  </si>
  <si>
    <t>Cabin Slope Pivot X</t>
  </si>
  <si>
    <t>Cabin Slope Pivot Y</t>
  </si>
  <si>
    <t>Station</t>
  </si>
  <si>
    <t>Frame Spacing</t>
  </si>
  <si>
    <t>T-Section Modulus</t>
  </si>
  <si>
    <t>Maximum Rib Spacing (Flange Width)</t>
  </si>
  <si>
    <t>Fw&lt;36t+w</t>
  </si>
  <si>
    <t>Design Rib Spacing</t>
  </si>
  <si>
    <t xml:space="preserve">Plank Thickness  (Flange Thickness) </t>
  </si>
  <si>
    <t>Rib Thickness (Web Height)</t>
  </si>
  <si>
    <t>Rib Width (Web Thickness)</t>
  </si>
  <si>
    <t>A</t>
  </si>
  <si>
    <t>mm^2</t>
  </si>
  <si>
    <t>cy</t>
  </si>
  <si>
    <t>From top of T</t>
  </si>
  <si>
    <t>cx</t>
  </si>
  <si>
    <t>From centre line of T</t>
  </si>
  <si>
    <t>Ixx</t>
  </si>
  <si>
    <t>Iyy</t>
  </si>
  <si>
    <t>Section Modulus</t>
  </si>
  <si>
    <t>Centreline</t>
  </si>
  <si>
    <t>http://buckwheat-anderson.com/bcanderson/Boatz/OSKayak/OSKbuild.html</t>
  </si>
  <si>
    <t>Bruce C. Anderson</t>
  </si>
  <si>
    <t>This design is based on work by:</t>
  </si>
  <si>
    <t>Degrees</t>
  </si>
  <si>
    <t>Amidships Deadrise</t>
  </si>
  <si>
    <t>Rocker</t>
  </si>
  <si>
    <t>Mini-Kayak Basic Metrics</t>
  </si>
  <si>
    <t>Mini-Kayak</t>
  </si>
  <si>
    <t>Plan Water Line Area</t>
  </si>
  <si>
    <t>F14 Plywood</t>
  </si>
  <si>
    <t>Hull Centre Reinforcement</t>
  </si>
  <si>
    <t>Design Point Load</t>
  </si>
  <si>
    <t>~100kg</t>
  </si>
  <si>
    <t>Span</t>
  </si>
  <si>
    <t>Allowable Stress</t>
  </si>
  <si>
    <t>Bending Moment</t>
  </si>
  <si>
    <t>Working Stress (per rib)</t>
  </si>
  <si>
    <t>Distribute Load (over two ribs)</t>
  </si>
  <si>
    <t>Note: May be easier to either double plank thickness or reinforce with one layers of 4 oz/sq_yd fibre-glass on both sides</t>
  </si>
  <si>
    <t>http://www.atkinboatplans.com/Sail/HeartsDesireII.html</t>
  </si>
  <si>
    <t>This design is an interpretation of William Atkin boat "Heart's Desire II", please have a look at the link below:</t>
  </si>
  <si>
    <t>It you like the design then a lot a good karma can be purchased by buying the plans from Pat Atkin (APatkin@aol.com) for US$100 including postage.</t>
  </si>
  <si>
    <t>The author has purchased the plans and this work is his adaption of the design to "stitch and glue" plywood construction.</t>
  </si>
  <si>
    <t>Note: The current design has development faults (i.e. excessive curvature).</t>
  </si>
  <si>
    <t>Approximate</t>
  </si>
  <si>
    <t>Max Chine Length</t>
  </si>
  <si>
    <t>Max Chine Length (CL)</t>
  </si>
  <si>
    <t>E</t>
  </si>
  <si>
    <t>Plywood Properties</t>
  </si>
  <si>
    <t>Stress Grade</t>
  </si>
  <si>
    <t>Bending
Mpa</t>
  </si>
  <si>
    <t>Tension
Mpa</t>
  </si>
  <si>
    <t>Panel Shear
Mpa</t>
  </si>
  <si>
    <t>Compression
Mpa</t>
  </si>
  <si>
    <t>Bearing
Mpa</t>
  </si>
  <si>
    <t>E
Mpa</t>
  </si>
  <si>
    <t>G~E/20
Mpa</t>
  </si>
  <si>
    <t>F34</t>
  </si>
  <si>
    <t>F27</t>
  </si>
  <si>
    <t>F22</t>
  </si>
  <si>
    <t>F17</t>
  </si>
  <si>
    <t>F14</t>
  </si>
  <si>
    <t>F11</t>
  </si>
  <si>
    <t>F8</t>
  </si>
  <si>
    <t>F7</t>
  </si>
  <si>
    <t>Selected Grade</t>
  </si>
  <si>
    <t>Plywood Strength</t>
  </si>
  <si>
    <t>US (MPa)</t>
  </si>
  <si>
    <t>WS (MPa)</t>
  </si>
  <si>
    <t>Tasmanian Oak</t>
  </si>
  <si>
    <t>Fbending</t>
  </si>
  <si>
    <t>Ftension</t>
  </si>
  <si>
    <t>Fshear (~15%*Fb)</t>
  </si>
  <si>
    <t>Fcompressions</t>
  </si>
  <si>
    <t>Fbearing</t>
  </si>
  <si>
    <t>G (~E/20)</t>
  </si>
  <si>
    <t>G (~E/15)</t>
  </si>
  <si>
    <t>Effective Width (=(E/Smax)^0.5)</t>
  </si>
  <si>
    <t>Skin Design</t>
  </si>
  <si>
    <t>Basic Calculations (approximate)</t>
  </si>
  <si>
    <t>Mini-Kayak Basic Design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</si>
</sst>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(&quot;$&quot;* #,##0.00_);_(&quot;$&quot;* \(#,##0.00\);_(&quot;$&quot;* &quot;-&quot;??_);_(@_)"/>
    <numFmt numFmtId="167" formatCode="0.000"/>
    <numFmt numFmtId="168" formatCode="0.0"/>
    <numFmt numFmtId="169" formatCode="#,##0.0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10"/>
      <name val="Arial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71">
    <xf numFmtId="0" fontId="0" fillId="0" borderId="0" xfId="0"/>
    <xf numFmtId="3" fontId="0" fillId="0" borderId="0" xfId="0" applyNumberFormat="1"/>
    <xf numFmtId="165" fontId="0" fillId="0" borderId="0" xfId="0" applyNumberFormat="1" applyFill="1"/>
    <xf numFmtId="3" fontId="0" fillId="0" borderId="0" xfId="0" applyNumberFormat="1" applyFill="1" applyAlignment="1">
      <alignment horizontal="center" vertical="center"/>
    </xf>
    <xf numFmtId="2" fontId="4" fillId="0" borderId="0" xfId="1" applyNumberFormat="1" applyFont="1"/>
    <xf numFmtId="2" fontId="4" fillId="0" borderId="0" xfId="1" applyNumberFormat="1" applyFont="1" applyBorder="1"/>
    <xf numFmtId="2" fontId="5" fillId="0" borderId="8" xfId="1" applyNumberFormat="1" applyFont="1" applyBorder="1"/>
    <xf numFmtId="2" fontId="4" fillId="0" borderId="4" xfId="1" applyNumberFormat="1" applyFont="1" applyBorder="1"/>
    <xf numFmtId="2" fontId="4" fillId="0" borderId="9" xfId="1" applyNumberFormat="1" applyFont="1" applyBorder="1"/>
    <xf numFmtId="2" fontId="5" fillId="0" borderId="5" xfId="1" applyNumberFormat="1" applyFont="1" applyBorder="1"/>
    <xf numFmtId="2" fontId="4" fillId="0" borderId="21" xfId="1" applyNumberFormat="1" applyFont="1" applyBorder="1"/>
    <xf numFmtId="2" fontId="4" fillId="0" borderId="7" xfId="1" applyNumberFormat="1" applyFont="1" applyBorder="1"/>
    <xf numFmtId="2" fontId="5" fillId="0" borderId="10" xfId="1" applyNumberFormat="1" applyFont="1" applyBorder="1"/>
    <xf numFmtId="2" fontId="4" fillId="0" borderId="16" xfId="1" applyNumberFormat="1" applyFont="1" applyBorder="1"/>
    <xf numFmtId="2" fontId="4" fillId="0" borderId="12" xfId="1" applyNumberFormat="1" applyFont="1" applyBorder="1"/>
    <xf numFmtId="2" fontId="5" fillId="0" borderId="19" xfId="1" applyNumberFormat="1" applyFont="1" applyFill="1" applyBorder="1"/>
    <xf numFmtId="167" fontId="4" fillId="0" borderId="19" xfId="3" applyNumberFormat="1" applyFont="1" applyFill="1" applyBorder="1"/>
    <xf numFmtId="2" fontId="4" fillId="0" borderId="19" xfId="1" applyNumberFormat="1" applyFont="1" applyFill="1" applyBorder="1"/>
    <xf numFmtId="2" fontId="4" fillId="0" borderId="8" xfId="1" applyNumberFormat="1" applyFont="1" applyBorder="1" applyAlignment="1"/>
    <xf numFmtId="2" fontId="4" fillId="0" borderId="14" xfId="3" applyNumberFormat="1" applyFont="1" applyBorder="1"/>
    <xf numFmtId="2" fontId="4" fillId="0" borderId="22" xfId="1" applyNumberFormat="1" applyFont="1" applyBorder="1" applyAlignment="1"/>
    <xf numFmtId="2" fontId="7" fillId="0" borderId="8" xfId="1" applyNumberFormat="1" applyFont="1" applyBorder="1" applyAlignment="1"/>
    <xf numFmtId="1" fontId="4" fillId="2" borderId="14" xfId="3" applyNumberFormat="1" applyFont="1" applyFill="1" applyBorder="1"/>
    <xf numFmtId="1" fontId="4" fillId="0" borderId="14" xfId="3" applyNumberFormat="1" applyFont="1" applyBorder="1"/>
    <xf numFmtId="2" fontId="4" fillId="0" borderId="10" xfId="1" applyNumberFormat="1" applyFont="1" applyFill="1" applyBorder="1" applyAlignment="1"/>
    <xf numFmtId="2" fontId="4" fillId="0" borderId="16" xfId="1" applyNumberFormat="1" applyFont="1" applyFill="1" applyBorder="1"/>
    <xf numFmtId="2" fontId="4" fillId="0" borderId="12" xfId="1" quotePrefix="1" applyNumberFormat="1" applyFont="1" applyBorder="1"/>
    <xf numFmtId="2" fontId="8" fillId="0" borderId="0" xfId="1" applyNumberFormat="1" applyFont="1" applyFill="1" applyBorder="1" applyAlignment="1"/>
    <xf numFmtId="2" fontId="4" fillId="0" borderId="0" xfId="3" applyNumberFormat="1" applyFont="1" applyBorder="1"/>
    <xf numFmtId="2" fontId="4" fillId="0" borderId="0" xfId="1" applyNumberFormat="1" applyFont="1" applyFill="1" applyBorder="1"/>
    <xf numFmtId="2" fontId="9" fillId="0" borderId="9" xfId="2" applyNumberFormat="1" applyFont="1" applyBorder="1" applyAlignment="1">
      <alignment horizontal="left"/>
    </xf>
    <xf numFmtId="168" fontId="4" fillId="0" borderId="14" xfId="3" applyNumberFormat="1" applyFont="1" applyBorder="1"/>
    <xf numFmtId="2" fontId="4" fillId="0" borderId="10" xfId="1" applyNumberFormat="1" applyFont="1" applyBorder="1" applyAlignment="1"/>
    <xf numFmtId="168" fontId="4" fillId="0" borderId="15" xfId="3" applyNumberFormat="1" applyFont="1" applyBorder="1"/>
    <xf numFmtId="2" fontId="4" fillId="0" borderId="17" xfId="1" applyNumberFormat="1" applyFont="1" applyBorder="1" applyAlignment="1"/>
    <xf numFmtId="2" fontId="7" fillId="0" borderId="4" xfId="1" applyNumberFormat="1" applyFont="1" applyBorder="1"/>
    <xf numFmtId="2" fontId="7" fillId="0" borderId="10" xfId="1" applyNumberFormat="1" applyFont="1" applyBorder="1"/>
    <xf numFmtId="2" fontId="4" fillId="0" borderId="8" xfId="1" applyNumberFormat="1" applyFont="1" applyBorder="1"/>
    <xf numFmtId="0" fontId="4" fillId="0" borderId="6" xfId="1" applyFont="1" applyFill="1" applyBorder="1"/>
    <xf numFmtId="1" fontId="4" fillId="0" borderId="21" xfId="1" applyNumberFormat="1" applyFont="1" applyBorder="1"/>
    <xf numFmtId="0" fontId="4" fillId="0" borderId="21" xfId="1" applyFont="1" applyBorder="1"/>
    <xf numFmtId="2" fontId="4" fillId="0" borderId="23" xfId="1" applyNumberFormat="1" applyFont="1" applyBorder="1"/>
    <xf numFmtId="0" fontId="4" fillId="0" borderId="24" xfId="1" applyFont="1" applyFill="1" applyBorder="1"/>
    <xf numFmtId="0" fontId="4" fillId="2" borderId="4" xfId="1" applyFont="1" applyFill="1" applyBorder="1"/>
    <xf numFmtId="0" fontId="4" fillId="0" borderId="4" xfId="1" applyFont="1" applyBorder="1"/>
    <xf numFmtId="2" fontId="4" fillId="0" borderId="22" xfId="1" applyNumberFormat="1" applyFont="1" applyBorder="1"/>
    <xf numFmtId="1" fontId="4" fillId="0" borderId="4" xfId="1" applyNumberFormat="1" applyFont="1" applyBorder="1"/>
    <xf numFmtId="0" fontId="4" fillId="0" borderId="22" xfId="1" applyFont="1" applyFill="1" applyBorder="1"/>
    <xf numFmtId="0" fontId="4" fillId="0" borderId="22" xfId="1" quotePrefix="1" applyFont="1" applyFill="1" applyBorder="1"/>
    <xf numFmtId="1" fontId="4" fillId="0" borderId="15" xfId="3" applyNumberFormat="1" applyFont="1" applyBorder="1"/>
    <xf numFmtId="2" fontId="9" fillId="0" borderId="12" xfId="2" quotePrefix="1" applyNumberFormat="1" applyFont="1" applyBorder="1" applyAlignment="1">
      <alignment horizontal="left"/>
    </xf>
    <xf numFmtId="167" fontId="4" fillId="0" borderId="14" xfId="3" applyNumberFormat="1" applyFont="1" applyFill="1" applyBorder="1"/>
    <xf numFmtId="167" fontId="4" fillId="0" borderId="13" xfId="3" applyNumberFormat="1" applyFont="1" applyFill="1" applyBorder="1"/>
    <xf numFmtId="167" fontId="4" fillId="0" borderId="15" xfId="3" applyNumberFormat="1" applyFont="1" applyFill="1" applyBorder="1"/>
    <xf numFmtId="167" fontId="2" fillId="0" borderId="0" xfId="3" applyNumberFormat="1" applyFont="1" applyFill="1" applyBorder="1"/>
    <xf numFmtId="2" fontId="2" fillId="0" borderId="0" xfId="1" applyNumberFormat="1" applyFont="1" applyBorder="1"/>
    <xf numFmtId="167" fontId="2" fillId="0" borderId="11" xfId="3" applyNumberFormat="1" applyFont="1" applyFill="1" applyBorder="1"/>
    <xf numFmtId="2" fontId="2" fillId="0" borderId="11" xfId="1" applyNumberFormat="1" applyFont="1" applyBorder="1"/>
    <xf numFmtId="0" fontId="0" fillId="0" borderId="0" xfId="0" applyAlignment="1">
      <alignment horizontal="center"/>
    </xf>
    <xf numFmtId="1" fontId="4" fillId="0" borderId="14" xfId="3" applyNumberFormat="1" applyFont="1" applyFill="1" applyBorder="1"/>
    <xf numFmtId="168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5" fillId="0" borderId="19" xfId="1" applyFont="1" applyBorder="1" applyAlignment="1">
      <alignment horizontal="center"/>
    </xf>
    <xf numFmtId="2" fontId="11" fillId="0" borderId="5" xfId="1" applyNumberFormat="1" applyFont="1" applyBorder="1"/>
    <xf numFmtId="2" fontId="9" fillId="0" borderId="21" xfId="2" applyNumberFormat="1" applyFont="1" applyBorder="1"/>
    <xf numFmtId="2" fontId="9" fillId="0" borderId="21" xfId="1" applyNumberFormat="1" applyFont="1" applyBorder="1"/>
    <xf numFmtId="2" fontId="9" fillId="0" borderId="7" xfId="2" applyNumberFormat="1" applyFont="1" applyBorder="1" applyAlignment="1">
      <alignment horizontal="left"/>
    </xf>
    <xf numFmtId="2" fontId="9" fillId="0" borderId="8" xfId="1" applyNumberFormat="1" applyFont="1" applyBorder="1"/>
    <xf numFmtId="1" fontId="9" fillId="0" borderId="4" xfId="1" applyNumberFormat="1" applyFont="1" applyBorder="1"/>
    <xf numFmtId="2" fontId="9" fillId="0" borderId="4" xfId="1" applyNumberFormat="1" applyFont="1" applyBorder="1"/>
    <xf numFmtId="1" fontId="9" fillId="2" borderId="4" xfId="1" applyNumberFormat="1" applyFont="1" applyFill="1" applyBorder="1"/>
    <xf numFmtId="2" fontId="9" fillId="0" borderId="9" xfId="1" applyNumberFormat="1" applyFont="1" applyBorder="1"/>
    <xf numFmtId="168" fontId="9" fillId="0" borderId="4" xfId="1" applyNumberFormat="1" applyFont="1" applyBorder="1"/>
    <xf numFmtId="1" fontId="9" fillId="0" borderId="4" xfId="3" applyNumberFormat="1" applyFont="1" applyBorder="1"/>
    <xf numFmtId="2" fontId="9" fillId="0" borderId="10" xfId="1" applyNumberFormat="1" applyFont="1" applyBorder="1"/>
    <xf numFmtId="1" fontId="9" fillId="0" borderId="16" xfId="3" applyNumberFormat="1" applyFont="1" applyBorder="1"/>
    <xf numFmtId="2" fontId="9" fillId="0" borderId="16" xfId="1" applyNumberFormat="1" applyFont="1" applyBorder="1"/>
    <xf numFmtId="2" fontId="9" fillId="0" borderId="12" xfId="1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/>
    </xf>
    <xf numFmtId="1" fontId="0" fillId="0" borderId="0" xfId="0" applyNumberFormat="1" applyFill="1"/>
    <xf numFmtId="0" fontId="0" fillId="0" borderId="0" xfId="0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168" fontId="2" fillId="0" borderId="0" xfId="3" applyNumberFormat="1" applyFont="1" applyFill="1" applyBorder="1"/>
    <xf numFmtId="1" fontId="0" fillId="0" borderId="36" xfId="0" applyNumberForma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47" xfId="0" applyNumberFormat="1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 vertical="center"/>
    </xf>
    <xf numFmtId="168" fontId="4" fillId="0" borderId="14" xfId="3" applyNumberFormat="1" applyFont="1" applyFill="1" applyBorder="1"/>
    <xf numFmtId="167" fontId="4" fillId="0" borderId="14" xfId="3" applyNumberFormat="1" applyFont="1" applyBorder="1"/>
    <xf numFmtId="167" fontId="4" fillId="2" borderId="14" xfId="3" applyNumberFormat="1" applyFont="1" applyFill="1" applyBorder="1"/>
    <xf numFmtId="167" fontId="4" fillId="0" borderId="15" xfId="3" applyNumberFormat="1" applyFont="1" applyBorder="1"/>
    <xf numFmtId="2" fontId="6" fillId="0" borderId="12" xfId="1" applyNumberFormat="1" applyFont="1" applyBorder="1"/>
    <xf numFmtId="2" fontId="4" fillId="2" borderId="14" xfId="3" applyNumberFormat="1" applyFont="1" applyFill="1" applyBorder="1"/>
    <xf numFmtId="2" fontId="8" fillId="0" borderId="16" xfId="3" applyNumberFormat="1" applyFont="1" applyBorder="1"/>
    <xf numFmtId="2" fontId="9" fillId="2" borderId="4" xfId="1" applyNumberFormat="1" applyFont="1" applyFill="1" applyBorder="1"/>
    <xf numFmtId="9" fontId="9" fillId="0" borderId="16" xfId="2" applyFont="1" applyBorder="1"/>
    <xf numFmtId="2" fontId="4" fillId="0" borderId="4" xfId="1" applyNumberFormat="1" applyFont="1" applyFill="1" applyBorder="1"/>
    <xf numFmtId="1" fontId="0" fillId="0" borderId="46" xfId="0" applyNumberForma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horizontal="left"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41" xfId="1" applyFont="1" applyBorder="1" applyAlignment="1">
      <alignment horizontal="left" vertical="center"/>
    </xf>
    <xf numFmtId="3" fontId="4" fillId="0" borderId="52" xfId="1" applyNumberFormat="1" applyFont="1" applyBorder="1" applyAlignment="1">
      <alignment horizontal="center" wrapText="1"/>
    </xf>
    <xf numFmtId="3" fontId="4" fillId="0" borderId="52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40" xfId="1" applyNumberFormat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left" vertical="center"/>
    </xf>
    <xf numFmtId="3" fontId="4" fillId="0" borderId="35" xfId="1" applyNumberFormat="1" applyFont="1" applyBorder="1" applyAlignment="1">
      <alignment horizontal="center"/>
    </xf>
    <xf numFmtId="3" fontId="4" fillId="0" borderId="35" xfId="1" applyNumberFormat="1" applyFont="1" applyBorder="1" applyAlignment="1">
      <alignment horizontal="center" vertical="center"/>
    </xf>
    <xf numFmtId="169" fontId="14" fillId="0" borderId="35" xfId="1" applyNumberFormat="1" applyFont="1" applyBorder="1" applyAlignment="1">
      <alignment horizontal="center" vertical="center"/>
    </xf>
    <xf numFmtId="3" fontId="4" fillId="0" borderId="34" xfId="1" applyNumberFormat="1" applyFont="1" applyBorder="1" applyAlignment="1">
      <alignment horizontal="center" vertical="center"/>
    </xf>
    <xf numFmtId="169" fontId="4" fillId="0" borderId="52" xfId="1" applyNumberFormat="1" applyFont="1" applyBorder="1" applyAlignment="1">
      <alignment horizontal="center" vertical="center"/>
    </xf>
    <xf numFmtId="169" fontId="4" fillId="0" borderId="35" xfId="1" applyNumberFormat="1" applyFont="1" applyBorder="1" applyAlignment="1">
      <alignment horizontal="center" vertical="center"/>
    </xf>
    <xf numFmtId="0" fontId="4" fillId="0" borderId="54" xfId="1" applyFont="1" applyBorder="1" applyAlignment="1">
      <alignment horizontal="left" vertical="center"/>
    </xf>
    <xf numFmtId="3" fontId="4" fillId="0" borderId="37" xfId="1" applyNumberFormat="1" applyFont="1" applyBorder="1" applyAlignment="1">
      <alignment horizontal="center"/>
    </xf>
    <xf numFmtId="3" fontId="4" fillId="0" borderId="37" xfId="1" applyNumberFormat="1" applyFont="1" applyBorder="1" applyAlignment="1">
      <alignment horizontal="center" vertical="center"/>
    </xf>
    <xf numFmtId="169" fontId="4" fillId="0" borderId="37" xfId="1" applyNumberFormat="1" applyFont="1" applyBorder="1" applyAlignment="1">
      <alignment horizontal="center" vertical="center"/>
    </xf>
    <xf numFmtId="3" fontId="4" fillId="0" borderId="38" xfId="1" applyNumberFormat="1" applyFont="1" applyBorder="1" applyAlignment="1">
      <alignment horizontal="center" vertical="center"/>
    </xf>
    <xf numFmtId="0" fontId="5" fillId="0" borderId="55" xfId="1" applyFont="1" applyBorder="1" applyAlignment="1">
      <alignment horizontal="left" vertical="center"/>
    </xf>
    <xf numFmtId="3" fontId="5" fillId="3" borderId="27" xfId="1" applyNumberFormat="1" applyFont="1" applyFill="1" applyBorder="1" applyAlignment="1">
      <alignment horizontal="center"/>
    </xf>
    <xf numFmtId="3" fontId="4" fillId="0" borderId="27" xfId="1" applyNumberFormat="1" applyFont="1" applyBorder="1" applyAlignment="1">
      <alignment horizontal="center" vertical="center"/>
    </xf>
    <xf numFmtId="169" fontId="4" fillId="0" borderId="27" xfId="1" applyNumberFormat="1" applyFont="1" applyBorder="1" applyAlignment="1">
      <alignment horizontal="center" vertical="center"/>
    </xf>
    <xf numFmtId="3" fontId="4" fillId="0" borderId="56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55" xfId="1" applyFont="1" applyBorder="1" applyAlignment="1">
      <alignment vertical="center"/>
    </xf>
    <xf numFmtId="0" fontId="5" fillId="0" borderId="27" xfId="1" applyFont="1" applyBorder="1" applyAlignment="1">
      <alignment horizontal="center"/>
    </xf>
    <xf numFmtId="9" fontId="5" fillId="0" borderId="56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9" fontId="10" fillId="0" borderId="23" xfId="1" applyNumberFormat="1" applyFont="1" applyBorder="1" applyAlignment="1">
      <alignment horizontal="center" vertical="center"/>
    </xf>
    <xf numFmtId="0" fontId="7" fillId="0" borderId="41" xfId="1" applyFont="1" applyBorder="1" applyAlignment="1">
      <alignment horizontal="left" vertical="center"/>
    </xf>
    <xf numFmtId="3" fontId="7" fillId="0" borderId="52" xfId="1" applyNumberFormat="1" applyFont="1" applyBorder="1" applyAlignment="1">
      <alignment horizontal="center"/>
    </xf>
    <xf numFmtId="0" fontId="7" fillId="0" borderId="26" xfId="1" applyFont="1" applyBorder="1" applyAlignment="1">
      <alignment horizontal="center" vertical="center"/>
    </xf>
    <xf numFmtId="3" fontId="7" fillId="0" borderId="57" xfId="1" applyNumberFormat="1" applyFont="1" applyBorder="1" applyAlignment="1">
      <alignment horizontal="center" vertical="center"/>
    </xf>
    <xf numFmtId="3" fontId="7" fillId="0" borderId="43" xfId="1" applyNumberFormat="1" applyFont="1" applyBorder="1" applyAlignment="1">
      <alignment horizontal="center" vertical="center"/>
    </xf>
    <xf numFmtId="0" fontId="7" fillId="0" borderId="53" xfId="1" applyFont="1" applyBorder="1" applyAlignment="1">
      <alignment horizontal="left" vertical="center"/>
    </xf>
    <xf numFmtId="3" fontId="7" fillId="0" borderId="35" xfId="1" applyNumberFormat="1" applyFont="1" applyBorder="1" applyAlignment="1">
      <alignment horizontal="center"/>
    </xf>
    <xf numFmtId="0" fontId="4" fillId="0" borderId="53" xfId="1" applyFont="1" applyBorder="1" applyAlignment="1">
      <alignment horizontal="center" vertical="center"/>
    </xf>
    <xf numFmtId="0" fontId="4" fillId="0" borderId="35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169" fontId="7" fillId="0" borderId="35" xfId="1" applyNumberFormat="1" applyFont="1" applyBorder="1" applyAlignment="1">
      <alignment horizontal="center"/>
    </xf>
    <xf numFmtId="0" fontId="7" fillId="0" borderId="53" xfId="1" applyFont="1" applyBorder="1" applyAlignment="1">
      <alignment horizontal="center" vertical="center"/>
    </xf>
    <xf numFmtId="3" fontId="7" fillId="0" borderId="35" xfId="1" applyNumberFormat="1" applyFont="1" applyBorder="1" applyAlignment="1">
      <alignment horizontal="center" vertical="center"/>
    </xf>
    <xf numFmtId="3" fontId="7" fillId="0" borderId="34" xfId="1" applyNumberFormat="1" applyFont="1" applyBorder="1" applyAlignment="1">
      <alignment horizontal="center" vertical="center"/>
    </xf>
    <xf numFmtId="0" fontId="7" fillId="0" borderId="51" xfId="1" applyFont="1" applyFill="1" applyBorder="1" applyAlignment="1">
      <alignment horizontal="left" vertical="center"/>
    </xf>
    <xf numFmtId="3" fontId="7" fillId="0" borderId="16" xfId="7" applyNumberFormat="1" applyFont="1" applyBorder="1" applyAlignment="1">
      <alignment horizontal="center"/>
    </xf>
    <xf numFmtId="0" fontId="4" fillId="0" borderId="59" xfId="1" applyFont="1" applyBorder="1" applyAlignment="1">
      <alignment horizontal="center" vertical="center"/>
    </xf>
    <xf numFmtId="3" fontId="7" fillId="0" borderId="60" xfId="7" applyNumberFormat="1" applyFont="1" applyBorder="1" applyAlignment="1">
      <alignment horizontal="center" vertical="center"/>
    </xf>
    <xf numFmtId="0" fontId="4" fillId="0" borderId="58" xfId="1" applyFont="1" applyBorder="1" applyAlignment="1">
      <alignment vertical="center"/>
    </xf>
    <xf numFmtId="3" fontId="17" fillId="0" borderId="14" xfId="3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3" fontId="20" fillId="0" borderId="0" xfId="0" applyNumberFormat="1" applyFont="1"/>
    <xf numFmtId="167" fontId="18" fillId="0" borderId="0" xfId="3" applyNumberFormat="1" applyFont="1" applyFill="1" applyBorder="1"/>
    <xf numFmtId="2" fontId="18" fillId="0" borderId="8" xfId="1" applyNumberFormat="1" applyFont="1" applyBorder="1" applyAlignment="1"/>
    <xf numFmtId="3" fontId="20" fillId="0" borderId="0" xfId="0" applyNumberFormat="1" applyFont="1" applyBorder="1"/>
    <xf numFmtId="1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11" xfId="0" applyNumberFormat="1" applyFont="1" applyBorder="1"/>
    <xf numFmtId="3" fontId="23" fillId="0" borderId="0" xfId="6" applyNumberFormat="1" applyFont="1"/>
    <xf numFmtId="4" fontId="20" fillId="0" borderId="0" xfId="0" applyNumberFormat="1" applyFont="1" applyAlignment="1">
      <alignment horizontal="center"/>
    </xf>
    <xf numFmtId="3" fontId="22" fillId="0" borderId="44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49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3" fontId="20" fillId="0" borderId="49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0" fillId="2" borderId="49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1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1" fontId="20" fillId="2" borderId="14" xfId="0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center" vertical="center"/>
    </xf>
    <xf numFmtId="3" fontId="20" fillId="2" borderId="29" xfId="0" applyNumberFormat="1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 vertical="center"/>
    </xf>
    <xf numFmtId="3" fontId="24" fillId="2" borderId="29" xfId="0" applyNumberFormat="1" applyFont="1" applyFill="1" applyBorder="1" applyAlignment="1">
      <alignment horizontal="center" vertical="center"/>
    </xf>
    <xf numFmtId="3" fontId="20" fillId="2" borderId="14" xfId="0" applyNumberFormat="1" applyFont="1" applyFill="1" applyBorder="1" applyAlignment="1">
      <alignment horizontal="center" vertical="center"/>
    </xf>
    <xf numFmtId="1" fontId="24" fillId="2" borderId="14" xfId="0" applyNumberFormat="1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20" fillId="0" borderId="14" xfId="0" applyNumberFormat="1" applyFont="1" applyFill="1" applyBorder="1"/>
    <xf numFmtId="3" fontId="20" fillId="0" borderId="0" xfId="0" applyNumberFormat="1" applyFont="1" applyFill="1" applyBorder="1"/>
    <xf numFmtId="3" fontId="20" fillId="0" borderId="29" xfId="0" applyNumberFormat="1" applyFont="1" applyFill="1" applyBorder="1"/>
    <xf numFmtId="3" fontId="20" fillId="0" borderId="0" xfId="0" applyNumberFormat="1" applyFont="1" applyFill="1"/>
    <xf numFmtId="3" fontId="20" fillId="0" borderId="45" xfId="0" applyNumberFormat="1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3" fontId="20" fillId="0" borderId="30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Border="1"/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/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/>
    <xf numFmtId="0" fontId="4" fillId="0" borderId="35" xfId="1" applyFont="1" applyBorder="1" applyAlignment="1">
      <alignment horizontal="center" vertical="center"/>
    </xf>
    <xf numFmtId="168" fontId="4" fillId="0" borderId="34" xfId="1" applyNumberFormat="1" applyFont="1" applyBorder="1" applyAlignment="1">
      <alignment horizontal="center" vertical="center"/>
    </xf>
    <xf numFmtId="2" fontId="17" fillId="0" borderId="0" xfId="1" applyNumberFormat="1" applyFont="1"/>
    <xf numFmtId="2" fontId="17" fillId="0" borderId="0" xfId="1" applyNumberFormat="1" applyFont="1" applyBorder="1"/>
    <xf numFmtId="2" fontId="15" fillId="0" borderId="8" xfId="1" applyNumberFormat="1" applyFont="1" applyBorder="1"/>
    <xf numFmtId="2" fontId="17" fillId="0" borderId="4" xfId="1" applyNumberFormat="1" applyFont="1" applyBorder="1"/>
    <xf numFmtId="2" fontId="17" fillId="0" borderId="9" xfId="1" applyNumberFormat="1" applyFont="1" applyBorder="1"/>
    <xf numFmtId="2" fontId="15" fillId="0" borderId="5" xfId="1" applyNumberFormat="1" applyFont="1" applyBorder="1"/>
    <xf numFmtId="2" fontId="17" fillId="0" borderId="21" xfId="1" applyNumberFormat="1" applyFont="1" applyBorder="1"/>
    <xf numFmtId="2" fontId="17" fillId="0" borderId="7" xfId="1" applyNumberFormat="1" applyFont="1" applyBorder="1"/>
    <xf numFmtId="2" fontId="15" fillId="0" borderId="10" xfId="1" applyNumberFormat="1" applyFont="1" applyBorder="1"/>
    <xf numFmtId="2" fontId="17" fillId="0" borderId="16" xfId="1" applyNumberFormat="1" applyFont="1" applyBorder="1"/>
    <xf numFmtId="2" fontId="17" fillId="0" borderId="12" xfId="1" applyNumberFormat="1" applyFont="1" applyBorder="1"/>
    <xf numFmtId="2" fontId="15" fillId="0" borderId="19" xfId="1" applyNumberFormat="1" applyFont="1" applyFill="1" applyBorder="1"/>
    <xf numFmtId="2" fontId="17" fillId="0" borderId="19" xfId="1" applyNumberFormat="1" applyFont="1" applyFill="1" applyBorder="1"/>
    <xf numFmtId="2" fontId="17" fillId="0" borderId="8" xfId="1" applyNumberFormat="1" applyFont="1" applyBorder="1" applyAlignment="1"/>
    <xf numFmtId="2" fontId="17" fillId="0" borderId="22" xfId="1" applyNumberFormat="1" applyFont="1" applyBorder="1" applyAlignment="1"/>
    <xf numFmtId="2" fontId="16" fillId="0" borderId="8" xfId="1" applyNumberFormat="1" applyFont="1" applyBorder="1" applyAlignment="1"/>
    <xf numFmtId="2" fontId="26" fillId="0" borderId="22" xfId="1" applyNumberFormat="1" applyFont="1" applyBorder="1" applyAlignment="1"/>
    <xf numFmtId="2" fontId="17" fillId="0" borderId="10" xfId="1" applyNumberFormat="1" applyFont="1" applyFill="1" applyBorder="1" applyAlignment="1"/>
    <xf numFmtId="2" fontId="17" fillId="0" borderId="16" xfId="1" applyNumberFormat="1" applyFont="1" applyFill="1" applyBorder="1"/>
    <xf numFmtId="2" fontId="17" fillId="0" borderId="12" xfId="1" quotePrefix="1" applyNumberFormat="1" applyFont="1" applyBorder="1"/>
    <xf numFmtId="2" fontId="27" fillId="0" borderId="0" xfId="1" applyNumberFormat="1" applyFont="1" applyFill="1" applyBorder="1" applyAlignment="1"/>
    <xf numFmtId="2" fontId="17" fillId="0" borderId="0" xfId="1" applyNumberFormat="1" applyFont="1" applyFill="1" applyBorder="1"/>
    <xf numFmtId="2" fontId="26" fillId="0" borderId="12" xfId="1" applyNumberFormat="1" applyFont="1" applyBorder="1" applyAlignment="1">
      <alignment horizontal="left"/>
    </xf>
    <xf numFmtId="0" fontId="26" fillId="0" borderId="0" xfId="0" applyFont="1"/>
    <xf numFmtId="4" fontId="17" fillId="0" borderId="0" xfId="1" applyNumberFormat="1" applyFont="1" applyAlignment="1">
      <alignment horizontal="center"/>
    </xf>
    <xf numFmtId="4" fontId="17" fillId="0" borderId="14" xfId="3" applyNumberFormat="1" applyFont="1" applyFill="1" applyBorder="1" applyAlignment="1">
      <alignment horizontal="center"/>
    </xf>
    <xf numFmtId="4" fontId="17" fillId="0" borderId="13" xfId="3" applyNumberFormat="1" applyFont="1" applyFill="1" applyBorder="1" applyAlignment="1">
      <alignment horizontal="center"/>
    </xf>
    <xf numFmtId="4" fontId="17" fillId="0" borderId="15" xfId="3" applyNumberFormat="1" applyFont="1" applyFill="1" applyBorder="1" applyAlignment="1">
      <alignment horizontal="center"/>
    </xf>
    <xf numFmtId="4" fontId="17" fillId="0" borderId="19" xfId="3" applyNumberFormat="1" applyFont="1" applyFill="1" applyBorder="1" applyAlignment="1">
      <alignment horizontal="center"/>
    </xf>
    <xf numFmtId="4" fontId="17" fillId="0" borderId="0" xfId="3" applyNumberFormat="1" applyFont="1" applyBorder="1" applyAlignment="1">
      <alignment horizontal="center"/>
    </xf>
    <xf numFmtId="3" fontId="17" fillId="0" borderId="14" xfId="3" applyNumberFormat="1" applyFont="1" applyFill="1" applyBorder="1" applyAlignment="1">
      <alignment horizontal="center"/>
    </xf>
    <xf numFmtId="169" fontId="17" fillId="0" borderId="15" xfId="3" applyNumberFormat="1" applyFont="1" applyBorder="1" applyAlignment="1">
      <alignment horizontal="center"/>
    </xf>
    <xf numFmtId="169" fontId="17" fillId="0" borderId="14" xfId="3" applyNumberFormat="1" applyFont="1" applyBorder="1" applyAlignment="1">
      <alignment horizontal="center"/>
    </xf>
    <xf numFmtId="169" fontId="26" fillId="0" borderId="16" xfId="3" applyNumberFormat="1" applyFont="1" applyBorder="1" applyAlignment="1">
      <alignment horizontal="center"/>
    </xf>
    <xf numFmtId="169" fontId="17" fillId="2" borderId="14" xfId="3" applyNumberFormat="1" applyFont="1" applyFill="1" applyBorder="1" applyAlignment="1">
      <alignment horizontal="center"/>
    </xf>
    <xf numFmtId="3" fontId="17" fillId="2" borderId="14" xfId="3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 vertical="center"/>
    </xf>
    <xf numFmtId="168" fontId="7" fillId="0" borderId="40" xfId="1" applyNumberFormat="1" applyFont="1" applyBorder="1" applyAlignment="1">
      <alignment horizontal="center" vertical="center"/>
    </xf>
    <xf numFmtId="168" fontId="7" fillId="0" borderId="34" xfId="1" applyNumberFormat="1" applyFont="1" applyBorder="1" applyAlignment="1">
      <alignment horizontal="center" vertical="center"/>
    </xf>
    <xf numFmtId="3" fontId="7" fillId="0" borderId="17" xfId="7" applyNumberFormat="1" applyFont="1" applyBorder="1" applyAlignment="1">
      <alignment horizontal="center" vertical="center"/>
    </xf>
    <xf numFmtId="2" fontId="2" fillId="0" borderId="0" xfId="1" applyNumberFormat="1" applyFont="1"/>
    <xf numFmtId="2" fontId="21" fillId="0" borderId="0" xfId="1" applyNumberFormat="1" applyFont="1" applyBorder="1" applyAlignment="1"/>
    <xf numFmtId="167" fontId="25" fillId="0" borderId="0" xfId="3" applyNumberFormat="1" applyFont="1" applyFill="1" applyBorder="1"/>
    <xf numFmtId="2" fontId="25" fillId="0" borderId="0" xfId="1" applyNumberFormat="1" applyFont="1" applyBorder="1"/>
    <xf numFmtId="167" fontId="25" fillId="0" borderId="11" xfId="3" applyNumberFormat="1" applyFont="1" applyFill="1" applyBorder="1"/>
    <xf numFmtId="2" fontId="25" fillId="0" borderId="11" xfId="1" applyNumberFormat="1" applyFont="1" applyBorder="1"/>
    <xf numFmtId="2" fontId="25" fillId="0" borderId="9" xfId="1" applyNumberFormat="1" applyFont="1" applyBorder="1"/>
    <xf numFmtId="2" fontId="25" fillId="0" borderId="12" xfId="1" applyNumberFormat="1" applyFont="1" applyBorder="1"/>
    <xf numFmtId="2" fontId="3" fillId="0" borderId="18" xfId="1" applyNumberFormat="1" applyFont="1" applyBorder="1" applyAlignment="1">
      <alignment horizontal="center"/>
    </xf>
    <xf numFmtId="2" fontId="3" fillId="0" borderId="19" xfId="1" applyNumberFormat="1" applyFont="1" applyBorder="1" applyAlignment="1">
      <alignment horizontal="center"/>
    </xf>
    <xf numFmtId="2" fontId="3" fillId="0" borderId="20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left"/>
    </xf>
    <xf numFmtId="2" fontId="2" fillId="0" borderId="0" xfId="1" applyNumberFormat="1" applyFont="1" applyBorder="1" applyAlignment="1">
      <alignment horizontal="left"/>
    </xf>
    <xf numFmtId="2" fontId="2" fillId="0" borderId="9" xfId="1" applyNumberFormat="1" applyFont="1" applyBorder="1" applyAlignment="1">
      <alignment horizontal="left"/>
    </xf>
    <xf numFmtId="2" fontId="2" fillId="0" borderId="10" xfId="1" applyNumberFormat="1" applyFont="1" applyBorder="1" applyAlignment="1">
      <alignment horizontal="left"/>
    </xf>
    <xf numFmtId="2" fontId="2" fillId="0" borderId="11" xfId="1" applyNumberFormat="1" applyFont="1" applyBorder="1" applyAlignment="1">
      <alignment horizontal="left"/>
    </xf>
    <xf numFmtId="2" fontId="2" fillId="0" borderId="12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/>
    </xf>
    <xf numFmtId="0" fontId="28" fillId="0" borderId="18" xfId="1" applyFont="1" applyBorder="1" applyAlignment="1">
      <alignment horizontal="center"/>
    </xf>
    <xf numFmtId="0" fontId="28" fillId="0" borderId="19" xfId="1" applyFont="1" applyBorder="1" applyAlignment="1">
      <alignment horizontal="center"/>
    </xf>
    <xf numFmtId="0" fontId="28" fillId="0" borderId="20" xfId="1" applyFont="1" applyBorder="1" applyAlignment="1">
      <alignment horizontal="center"/>
    </xf>
    <xf numFmtId="2" fontId="28" fillId="0" borderId="18" xfId="1" applyNumberFormat="1" applyFont="1" applyBorder="1" applyAlignment="1">
      <alignment horizontal="center"/>
    </xf>
    <xf numFmtId="2" fontId="28" fillId="0" borderId="19" xfId="1" applyNumberFormat="1" applyFont="1" applyBorder="1" applyAlignment="1">
      <alignment horizontal="center"/>
    </xf>
    <xf numFmtId="2" fontId="28" fillId="0" borderId="20" xfId="1" applyNumberFormat="1" applyFont="1" applyBorder="1" applyAlignment="1">
      <alignment horizontal="center"/>
    </xf>
    <xf numFmtId="2" fontId="2" fillId="0" borderId="33" xfId="1" applyNumberFormat="1" applyFont="1" applyBorder="1" applyAlignment="1">
      <alignment horizontal="left"/>
    </xf>
    <xf numFmtId="2" fontId="21" fillId="0" borderId="8" xfId="1" applyNumberFormat="1" applyFont="1" applyBorder="1" applyAlignment="1">
      <alignment horizontal="left"/>
    </xf>
    <xf numFmtId="2" fontId="21" fillId="0" borderId="0" xfId="1" applyNumberFormat="1" applyFont="1" applyBorder="1" applyAlignment="1">
      <alignment horizontal="left"/>
    </xf>
    <xf numFmtId="2" fontId="15" fillId="0" borderId="18" xfId="1" applyNumberFormat="1" applyFont="1" applyBorder="1" applyAlignment="1">
      <alignment horizontal="center"/>
    </xf>
    <xf numFmtId="2" fontId="15" fillId="0" borderId="19" xfId="1" applyNumberFormat="1" applyFont="1" applyBorder="1" applyAlignment="1">
      <alignment horizontal="center"/>
    </xf>
    <xf numFmtId="2" fontId="15" fillId="0" borderId="20" xfId="1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2" fontId="21" fillId="0" borderId="10" xfId="1" applyNumberFormat="1" applyFont="1" applyBorder="1" applyAlignment="1">
      <alignment horizontal="left"/>
    </xf>
    <xf numFmtId="2" fontId="21" fillId="0" borderId="11" xfId="1" applyNumberFormat="1" applyFont="1" applyBorder="1" applyAlignment="1">
      <alignment horizontal="left"/>
    </xf>
    <xf numFmtId="0" fontId="20" fillId="0" borderId="42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6" applyNumberFormat="1" applyFont="1" applyAlignment="1">
      <alignment horizontal="left"/>
    </xf>
    <xf numFmtId="3" fontId="23" fillId="0" borderId="0" xfId="6" applyNumberFormat="1" applyFont="1" applyAlignment="1">
      <alignment horizontal="left" indent="2"/>
    </xf>
    <xf numFmtId="3" fontId="20" fillId="0" borderId="0" xfId="0" applyNumberFormat="1" applyFont="1" applyAlignment="1">
      <alignment horizontal="left"/>
    </xf>
    <xf numFmtId="3" fontId="0" fillId="0" borderId="44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3" fontId="29" fillId="0" borderId="0" xfId="0" applyNumberFormat="1" applyFont="1" applyBorder="1" applyAlignment="1"/>
    <xf numFmtId="3" fontId="12" fillId="0" borderId="0" xfId="0" applyNumberFormat="1" applyFont="1" applyFill="1" applyBorder="1" applyAlignment="1"/>
    <xf numFmtId="3" fontId="29" fillId="0" borderId="42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3" fontId="0" fillId="0" borderId="8" xfId="0" applyNumberFormat="1" applyBorder="1"/>
    <xf numFmtId="3" fontId="0" fillId="2" borderId="9" xfId="0" applyNumberFormat="1" applyFill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2" borderId="12" xfId="0" applyNumberFormat="1" applyFill="1" applyBorder="1" applyAlignment="1">
      <alignment horizontal="center"/>
    </xf>
    <xf numFmtId="3" fontId="19" fillId="0" borderId="4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20" fillId="0" borderId="8" xfId="0" applyNumberFormat="1" applyFont="1" applyBorder="1"/>
    <xf numFmtId="3" fontId="20" fillId="2" borderId="9" xfId="0" applyNumberFormat="1" applyFont="1" applyFill="1" applyBorder="1" applyAlignment="1">
      <alignment horizontal="center"/>
    </xf>
    <xf numFmtId="3" fontId="20" fillId="0" borderId="8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 horizontal="left"/>
    </xf>
    <xf numFmtId="3" fontId="20" fillId="2" borderId="12" xfId="0" applyNumberFormat="1" applyFont="1" applyFill="1" applyBorder="1" applyAlignment="1">
      <alignment horizontal="center"/>
    </xf>
  </cellXfs>
  <cellStyles count="8">
    <cellStyle name="Comma 2" xfId="3"/>
    <cellStyle name="Comma 3" xfId="5"/>
    <cellStyle name="Comma 3 2" xfId="7"/>
    <cellStyle name="Currency 2" xfId="4"/>
    <cellStyle name="Hyperlink" xfId="6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19051</xdr:rowOff>
    </xdr:from>
    <xdr:to>
      <xdr:col>5</xdr:col>
      <xdr:colOff>514350</xdr:colOff>
      <xdr:row>5</xdr:row>
      <xdr:rowOff>171451</xdr:rowOff>
    </xdr:to>
    <xdr:sp macro="[0]!MakeCSV.MakeCSV" textlink="">
      <xdr:nvSpPr>
        <xdr:cNvPr id="2" name="Right Arrow 1"/>
        <xdr:cNvSpPr/>
      </xdr:nvSpPr>
      <xdr:spPr>
        <a:xfrm>
          <a:off x="2724150" y="609601"/>
          <a:ext cx="1409700" cy="533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AU" sz="1400" b="1"/>
            <a:t>Make CSV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19051</xdr:rowOff>
    </xdr:from>
    <xdr:to>
      <xdr:col>5</xdr:col>
      <xdr:colOff>514349</xdr:colOff>
      <xdr:row>3</xdr:row>
      <xdr:rowOff>171451</xdr:rowOff>
    </xdr:to>
    <xdr:sp macro="[0]!MakeCSV.MakeCSV" textlink="">
      <xdr:nvSpPr>
        <xdr:cNvPr id="2" name="Right Arrow 1"/>
        <xdr:cNvSpPr/>
      </xdr:nvSpPr>
      <xdr:spPr>
        <a:xfrm>
          <a:off x="2428875" y="219076"/>
          <a:ext cx="1295399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AU" sz="1200" b="1"/>
            <a:t>Make CSV</a:t>
          </a:r>
          <a:endParaRPr lang="en-AU" sz="18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anX/Canoe/Junk/Documents%20and%20Settings/cooperag/My%20Documents/F/boat/new/junk/c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anX/Canoe/Documents%20and%20Settings/cooperag/My%20Documents/F/boat/new/junk/c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oats\Boat\Review\canoe\Documents%20and%20Settings\cooperag\My%20Documents\F\boat\new\junk\c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c9"/>
      <sheetName val="drawing"/>
      <sheetName val="Long"/>
      <sheetName val="Plan"/>
      <sheetName val="Section"/>
      <sheetName val="Basic"/>
      <sheetName val="Keel Bolts"/>
      <sheetName val="Keel Fin"/>
      <sheetName val="Box Cradle"/>
      <sheetName val="Hull"/>
      <sheetName val="Costs"/>
      <sheetName val="Catalog"/>
      <sheetName val="Hagar"/>
      <sheetName val="Pelican"/>
      <sheetName val="Calculations"/>
      <sheetName val="NACA 0012"/>
      <sheetName val="AS4132"/>
      <sheetName val="Keel Design"/>
      <sheetName val="S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>
            <v>4.200000000000001E-2</v>
          </cell>
        </row>
        <row r="4">
          <cell r="D4">
            <v>3.84776611328125E-2</v>
          </cell>
        </row>
        <row r="5">
          <cell r="D5">
            <v>3.5116328124999999E-2</v>
          </cell>
        </row>
        <row r="6">
          <cell r="D6">
            <v>3.1924614257812498E-2</v>
          </cell>
        </row>
        <row r="7">
          <cell r="D7">
            <v>2.8911249999999999E-2</v>
          </cell>
        </row>
        <row r="8">
          <cell r="D8">
            <v>2.6085083007812496E-2</v>
          </cell>
        </row>
        <row r="9">
          <cell r="D9">
            <v>2.3455078125000001E-2</v>
          </cell>
        </row>
        <row r="10">
          <cell r="D10">
            <v>2.1030317382812497E-2</v>
          </cell>
        </row>
        <row r="11">
          <cell r="D11">
            <v>1.8819999999999996E-2</v>
          </cell>
        </row>
        <row r="12">
          <cell r="D12">
            <v>1.6833442382812501E-2</v>
          </cell>
        </row>
        <row r="13">
          <cell r="D13">
            <v>1.5080078125E-2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c9"/>
      <sheetName val="drawing"/>
      <sheetName val="Long"/>
      <sheetName val="Plan"/>
      <sheetName val="Section"/>
      <sheetName val="Basic"/>
      <sheetName val="Keel Bolts"/>
      <sheetName val="Keel Fin"/>
      <sheetName val="Box Cradle"/>
      <sheetName val="Hull"/>
      <sheetName val="Costs"/>
      <sheetName val="Catalog"/>
      <sheetName val="Hagar"/>
      <sheetName val="Pelican"/>
      <sheetName val="Calculations"/>
      <sheetName val="NACA 0012"/>
      <sheetName val="AS4132"/>
      <sheetName val="Keel Design"/>
      <sheetName val="S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>
            <v>4.200000000000001E-2</v>
          </cell>
        </row>
        <row r="4">
          <cell r="D4">
            <v>3.84776611328125E-2</v>
          </cell>
        </row>
        <row r="5">
          <cell r="D5">
            <v>3.5116328124999999E-2</v>
          </cell>
        </row>
        <row r="6">
          <cell r="D6">
            <v>3.1924614257812498E-2</v>
          </cell>
        </row>
        <row r="7">
          <cell r="D7">
            <v>2.8911249999999999E-2</v>
          </cell>
        </row>
        <row r="8">
          <cell r="D8">
            <v>2.6085083007812496E-2</v>
          </cell>
        </row>
        <row r="9">
          <cell r="D9">
            <v>2.3455078125000001E-2</v>
          </cell>
        </row>
        <row r="10">
          <cell r="D10">
            <v>2.1030317382812497E-2</v>
          </cell>
        </row>
        <row r="11">
          <cell r="D11">
            <v>1.8819999999999996E-2</v>
          </cell>
        </row>
        <row r="12">
          <cell r="D12">
            <v>1.6833442382812501E-2</v>
          </cell>
        </row>
        <row r="13">
          <cell r="D13">
            <v>1.5080078125E-2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c9"/>
      <sheetName val="drawing"/>
      <sheetName val="Long"/>
      <sheetName val="Plan"/>
      <sheetName val="Section"/>
      <sheetName val="Basic"/>
      <sheetName val="Keel Bolts"/>
      <sheetName val="Keel Fin"/>
      <sheetName val="Box Cradle"/>
      <sheetName val="Hull"/>
      <sheetName val="Costs"/>
      <sheetName val="Catalog"/>
      <sheetName val="Hagar"/>
      <sheetName val="Pelican"/>
      <sheetName val="Calculations"/>
      <sheetName val="NACA 0012"/>
      <sheetName val="AS4132"/>
      <sheetName val="Keel Design"/>
      <sheetName val="S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>
            <v>4.200000000000001E-2</v>
          </cell>
        </row>
        <row r="4">
          <cell r="D4">
            <v>3.84776611328125E-2</v>
          </cell>
        </row>
        <row r="5">
          <cell r="D5">
            <v>3.5116328124999999E-2</v>
          </cell>
        </row>
        <row r="6">
          <cell r="D6">
            <v>3.1924614257812498E-2</v>
          </cell>
        </row>
        <row r="7">
          <cell r="D7">
            <v>2.8911249999999999E-2</v>
          </cell>
        </row>
        <row r="8">
          <cell r="D8">
            <v>2.6085083007812496E-2</v>
          </cell>
        </row>
        <row r="9">
          <cell r="D9">
            <v>2.3455078125000001E-2</v>
          </cell>
        </row>
        <row r="10">
          <cell r="D10">
            <v>2.1030317382812497E-2</v>
          </cell>
        </row>
        <row r="11">
          <cell r="D11">
            <v>1.8819999999999996E-2</v>
          </cell>
        </row>
        <row r="12">
          <cell r="D12">
            <v>1.6833442382812501E-2</v>
          </cell>
        </row>
        <row r="13">
          <cell r="D13">
            <v>1.5080078125E-2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tkinboatplans.com/Sail/HeartsDesireII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6"/>
  <sheetViews>
    <sheetView workbookViewId="0"/>
  </sheetViews>
  <sheetFormatPr defaultRowHeight="15" x14ac:dyDescent="0.25"/>
  <cols>
    <col min="1" max="2" width="9.140625" style="58"/>
    <col min="3" max="5" width="9.140625" style="60"/>
    <col min="6" max="7" width="9.140625" style="58"/>
  </cols>
  <sheetData>
    <row r="1" spans="1:7" x14ac:dyDescent="0.25">
      <c r="A1" s="58" t="s">
        <v>4</v>
      </c>
      <c r="B1" s="58">
        <v>7</v>
      </c>
      <c r="C1" s="60" t="s">
        <v>5</v>
      </c>
      <c r="D1" s="60">
        <v>4</v>
      </c>
    </row>
    <row r="2" spans="1:7" x14ac:dyDescent="0.25">
      <c r="A2" s="58" t="s">
        <v>96</v>
      </c>
      <c r="B2" s="58" t="s">
        <v>0</v>
      </c>
      <c r="C2" s="60" t="s">
        <v>1</v>
      </c>
      <c r="D2" s="60" t="s">
        <v>2</v>
      </c>
      <c r="E2" s="60" t="s">
        <v>3</v>
      </c>
      <c r="F2" s="58" t="s">
        <v>76</v>
      </c>
      <c r="G2" s="58" t="s">
        <v>77</v>
      </c>
    </row>
    <row r="3" spans="1:7" x14ac:dyDescent="0.25">
      <c r="A3" s="58">
        <v>1</v>
      </c>
      <c r="B3" s="58">
        <v>1</v>
      </c>
      <c r="C3" s="60">
        <v>20</v>
      </c>
      <c r="D3" s="60">
        <v>0.2362305417879273</v>
      </c>
      <c r="E3" s="60">
        <v>146.94655749012799</v>
      </c>
      <c r="F3" s="58" t="b">
        <v>1</v>
      </c>
      <c r="G3" s="58">
        <v>1</v>
      </c>
    </row>
    <row r="4" spans="1:7" x14ac:dyDescent="0.25">
      <c r="A4" s="58">
        <v>1</v>
      </c>
      <c r="B4" s="58">
        <v>2</v>
      </c>
      <c r="C4" s="60">
        <v>20</v>
      </c>
      <c r="D4" s="60">
        <v>0.2362305417879273</v>
      </c>
      <c r="E4" s="60">
        <v>146.94655749012799</v>
      </c>
      <c r="F4" s="58" t="b">
        <v>1</v>
      </c>
      <c r="G4" s="58">
        <v>2</v>
      </c>
    </row>
    <row r="5" spans="1:7" x14ac:dyDescent="0.25">
      <c r="A5" s="58">
        <v>1</v>
      </c>
      <c r="B5" s="58">
        <v>3</v>
      </c>
      <c r="C5" s="60">
        <v>20</v>
      </c>
      <c r="D5" s="60">
        <v>0.2362305417879273</v>
      </c>
      <c r="E5" s="60">
        <v>146.94655749012799</v>
      </c>
      <c r="F5" s="58" t="b">
        <v>1</v>
      </c>
      <c r="G5" s="58">
        <v>3</v>
      </c>
    </row>
    <row r="6" spans="1:7" x14ac:dyDescent="0.25">
      <c r="A6" s="58">
        <v>1</v>
      </c>
      <c r="B6" s="58">
        <v>4</v>
      </c>
      <c r="C6" s="60">
        <v>20</v>
      </c>
      <c r="D6" s="60">
        <v>0.2362305417879273</v>
      </c>
      <c r="E6" s="60">
        <v>146.94655749012799</v>
      </c>
      <c r="F6" s="58" t="b">
        <v>1</v>
      </c>
      <c r="G6" s="58">
        <v>4</v>
      </c>
    </row>
    <row r="7" spans="1:7" x14ac:dyDescent="0.25">
      <c r="A7" s="58">
        <v>2</v>
      </c>
      <c r="B7" s="58">
        <v>1</v>
      </c>
      <c r="C7" s="60">
        <v>135</v>
      </c>
      <c r="D7" s="60">
        <v>0.2362305417879273</v>
      </c>
      <c r="E7" s="60">
        <v>0</v>
      </c>
      <c r="F7" s="58" t="b">
        <v>1</v>
      </c>
      <c r="G7" s="58">
        <v>1</v>
      </c>
    </row>
    <row r="8" spans="1:7" x14ac:dyDescent="0.25">
      <c r="A8" s="58">
        <v>2</v>
      </c>
      <c r="B8" s="58">
        <v>2</v>
      </c>
      <c r="C8" s="60">
        <v>135</v>
      </c>
      <c r="D8" s="60">
        <v>0.2362305417879273</v>
      </c>
      <c r="E8" s="60">
        <v>0</v>
      </c>
      <c r="F8" s="58" t="b">
        <v>1</v>
      </c>
      <c r="G8" s="58">
        <v>2</v>
      </c>
    </row>
    <row r="9" spans="1:7" x14ac:dyDescent="0.25">
      <c r="A9" s="58">
        <v>3</v>
      </c>
      <c r="B9" s="58">
        <v>1</v>
      </c>
      <c r="C9" s="60">
        <v>604</v>
      </c>
      <c r="D9" s="60">
        <v>0.2362305417879273</v>
      </c>
      <c r="E9" s="60">
        <v>-48.362158161307953</v>
      </c>
      <c r="F9" s="58" t="b">
        <v>0</v>
      </c>
      <c r="G9" s="58">
        <v>1</v>
      </c>
    </row>
    <row r="10" spans="1:7" x14ac:dyDescent="0.25">
      <c r="A10" s="58">
        <v>3</v>
      </c>
      <c r="B10" s="58">
        <v>2</v>
      </c>
      <c r="C10" s="60">
        <v>604</v>
      </c>
      <c r="D10" s="60">
        <v>132.06589344049479</v>
      </c>
      <c r="E10" s="60">
        <v>-24.181079080653976</v>
      </c>
      <c r="F10" s="58" t="b">
        <v>0</v>
      </c>
      <c r="G10" s="58">
        <v>2</v>
      </c>
    </row>
    <row r="11" spans="1:7" x14ac:dyDescent="0.25">
      <c r="A11" s="58">
        <v>3</v>
      </c>
      <c r="B11" s="58">
        <v>3</v>
      </c>
      <c r="C11" s="60">
        <v>604</v>
      </c>
      <c r="D11" s="60">
        <v>157.17701402425084</v>
      </c>
      <c r="E11" s="60">
        <v>106.02473135363667</v>
      </c>
      <c r="F11" s="58" t="b">
        <v>0</v>
      </c>
      <c r="G11" s="58">
        <v>3</v>
      </c>
    </row>
    <row r="12" spans="1:7" x14ac:dyDescent="0.25">
      <c r="A12" s="58">
        <v>3</v>
      </c>
      <c r="B12" s="58">
        <v>4</v>
      </c>
      <c r="C12" s="60">
        <v>604</v>
      </c>
      <c r="D12" s="60">
        <v>0</v>
      </c>
      <c r="E12" s="60">
        <v>144.15643298082179</v>
      </c>
      <c r="F12" s="58" t="b">
        <v>0</v>
      </c>
      <c r="G12" s="58">
        <v>4</v>
      </c>
    </row>
    <row r="13" spans="1:7" x14ac:dyDescent="0.25">
      <c r="A13" s="58">
        <v>4</v>
      </c>
      <c r="B13" s="58">
        <v>1</v>
      </c>
      <c r="C13" s="60">
        <v>1200</v>
      </c>
      <c r="D13" s="60">
        <v>0</v>
      </c>
      <c r="E13" s="60">
        <v>-69.753112732655694</v>
      </c>
      <c r="F13" s="58" t="b">
        <v>0</v>
      </c>
      <c r="G13" s="58">
        <v>1</v>
      </c>
    </row>
    <row r="14" spans="1:7" x14ac:dyDescent="0.25">
      <c r="A14" s="58">
        <v>4</v>
      </c>
      <c r="B14" s="58">
        <v>2</v>
      </c>
      <c r="C14" s="60">
        <v>1200</v>
      </c>
      <c r="D14" s="60">
        <v>184.14821761421103</v>
      </c>
      <c r="E14" s="60">
        <v>-45.572033652001714</v>
      </c>
      <c r="F14" s="58" t="b">
        <v>0</v>
      </c>
      <c r="G14" s="58">
        <v>2</v>
      </c>
    </row>
    <row r="15" spans="1:7" x14ac:dyDescent="0.25">
      <c r="A15" s="58">
        <v>4</v>
      </c>
      <c r="B15" s="58">
        <v>3</v>
      </c>
      <c r="C15" s="60">
        <v>1200</v>
      </c>
      <c r="D15" s="60">
        <v>208.32929669486504</v>
      </c>
      <c r="E15" s="60">
        <v>92.074108807105517</v>
      </c>
      <c r="F15" s="58" t="b">
        <v>0</v>
      </c>
      <c r="G15" s="58">
        <v>3</v>
      </c>
    </row>
    <row r="16" spans="1:7" x14ac:dyDescent="0.25">
      <c r="A16" s="58">
        <v>4</v>
      </c>
      <c r="B16" s="58">
        <v>4</v>
      </c>
      <c r="C16" s="60">
        <v>1200</v>
      </c>
      <c r="D16" s="60">
        <v>0</v>
      </c>
      <c r="E16" s="60">
        <v>142.29634997461764</v>
      </c>
      <c r="F16" s="58" t="b">
        <v>0</v>
      </c>
      <c r="G16" s="58">
        <v>4</v>
      </c>
    </row>
    <row r="17" spans="1:7" x14ac:dyDescent="0.25">
      <c r="A17" s="58">
        <v>5</v>
      </c>
      <c r="B17" s="58">
        <v>1</v>
      </c>
      <c r="C17" s="60">
        <v>1777</v>
      </c>
      <c r="D17" s="60">
        <v>0</v>
      </c>
      <c r="E17" s="60">
        <v>-51.152282670614177</v>
      </c>
      <c r="F17" s="58" t="b">
        <v>0</v>
      </c>
      <c r="G17" s="58">
        <v>1</v>
      </c>
    </row>
    <row r="18" spans="1:7" x14ac:dyDescent="0.25">
      <c r="A18" s="58">
        <v>5</v>
      </c>
      <c r="B18" s="58">
        <v>2</v>
      </c>
      <c r="C18" s="60">
        <v>1777</v>
      </c>
      <c r="D18" s="60">
        <v>132.06589344049479</v>
      </c>
      <c r="E18" s="60">
        <v>-26.971203589960204</v>
      </c>
      <c r="F18" s="58" t="b">
        <v>0</v>
      </c>
      <c r="G18" s="58">
        <v>2</v>
      </c>
    </row>
    <row r="19" spans="1:7" x14ac:dyDescent="0.25">
      <c r="A19" s="58">
        <v>5</v>
      </c>
      <c r="B19" s="58">
        <v>3</v>
      </c>
      <c r="C19" s="60">
        <v>1777</v>
      </c>
      <c r="D19" s="60">
        <v>157.17701402425084</v>
      </c>
      <c r="E19" s="60">
        <v>92.074108807105517</v>
      </c>
      <c r="F19" s="58" t="b">
        <v>0</v>
      </c>
      <c r="G19" s="58">
        <v>3</v>
      </c>
    </row>
    <row r="20" spans="1:7" x14ac:dyDescent="0.25">
      <c r="A20" s="58">
        <v>5</v>
      </c>
      <c r="B20" s="58">
        <v>4</v>
      </c>
      <c r="C20" s="60">
        <v>1777</v>
      </c>
      <c r="D20" s="60">
        <v>0</v>
      </c>
      <c r="E20" s="60">
        <v>112.53502187535119</v>
      </c>
      <c r="F20" s="58" t="b">
        <v>0</v>
      </c>
      <c r="G20" s="58">
        <v>4</v>
      </c>
    </row>
    <row r="21" spans="1:7" x14ac:dyDescent="0.25">
      <c r="A21" s="58">
        <v>6</v>
      </c>
      <c r="B21" s="58">
        <v>1</v>
      </c>
      <c r="C21" s="60">
        <v>2332</v>
      </c>
      <c r="D21" s="60">
        <v>0</v>
      </c>
      <c r="E21" s="60">
        <v>0</v>
      </c>
      <c r="F21" s="58" t="b">
        <v>1</v>
      </c>
      <c r="G21" s="58">
        <v>1</v>
      </c>
    </row>
    <row r="22" spans="1:7" x14ac:dyDescent="0.25">
      <c r="A22" s="58">
        <v>6</v>
      </c>
      <c r="B22" s="58">
        <v>2</v>
      </c>
      <c r="C22" s="60">
        <v>2332</v>
      </c>
      <c r="D22" s="60">
        <v>0</v>
      </c>
      <c r="E22" s="60">
        <v>0</v>
      </c>
      <c r="F22" s="58" t="b">
        <v>1</v>
      </c>
      <c r="G22" s="58">
        <v>2</v>
      </c>
    </row>
    <row r="23" spans="1:7" x14ac:dyDescent="0.25">
      <c r="A23" s="58">
        <v>7</v>
      </c>
      <c r="B23" s="58">
        <v>1</v>
      </c>
      <c r="C23" s="60">
        <v>2364</v>
      </c>
      <c r="D23" s="60">
        <v>0</v>
      </c>
      <c r="E23" s="60">
        <v>92.074108807105517</v>
      </c>
      <c r="F23" s="58" t="b">
        <v>1</v>
      </c>
      <c r="G23" s="58">
        <v>0</v>
      </c>
    </row>
    <row r="24" spans="1:7" x14ac:dyDescent="0.25">
      <c r="A24" s="58">
        <v>7</v>
      </c>
      <c r="B24" s="58">
        <v>2</v>
      </c>
      <c r="C24" s="60">
        <v>2364</v>
      </c>
      <c r="D24" s="60">
        <v>0</v>
      </c>
      <c r="E24" s="60">
        <v>92.074108807105517</v>
      </c>
      <c r="F24" s="58" t="b">
        <v>1</v>
      </c>
      <c r="G24" s="58">
        <v>0</v>
      </c>
    </row>
    <row r="25" spans="1:7" x14ac:dyDescent="0.25">
      <c r="A25" s="58">
        <v>7</v>
      </c>
      <c r="B25" s="58">
        <v>3</v>
      </c>
      <c r="C25" s="60">
        <v>2364</v>
      </c>
      <c r="D25" s="60">
        <v>0</v>
      </c>
      <c r="E25" s="60">
        <v>92.074108807105517</v>
      </c>
      <c r="F25" s="58" t="b">
        <v>1</v>
      </c>
      <c r="G25" s="58">
        <v>0</v>
      </c>
    </row>
    <row r="26" spans="1:7" x14ac:dyDescent="0.25">
      <c r="A26" s="58">
        <v>7</v>
      </c>
      <c r="B26" s="58">
        <v>4</v>
      </c>
      <c r="C26" s="60">
        <v>2364</v>
      </c>
      <c r="D26" s="60">
        <v>0</v>
      </c>
      <c r="E26" s="60">
        <v>92.074108807105517</v>
      </c>
      <c r="F26" s="58" t="b">
        <v>1</v>
      </c>
      <c r="G26" s="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205"/>
  <sheetViews>
    <sheetView zoomScale="80" zoomScaleNormal="80" workbookViewId="0">
      <selection activeCell="F28" sqref="F28"/>
    </sheetView>
  </sheetViews>
  <sheetFormatPr defaultColWidth="7.7109375" defaultRowHeight="15" x14ac:dyDescent="0.25"/>
  <cols>
    <col min="1" max="1" width="24.140625" style="1" bestFit="1" customWidth="1"/>
    <col min="2" max="2" width="3.7109375" style="78" customWidth="1"/>
    <col min="3" max="3" width="3.140625" style="1" customWidth="1"/>
    <col min="4" max="4" width="4.42578125" style="1" bestFit="1" customWidth="1"/>
    <col min="5" max="5" width="6" style="1" bestFit="1" customWidth="1"/>
    <col min="6" max="6" width="7" style="1" bestFit="1" customWidth="1"/>
    <col min="7" max="7" width="4.42578125" style="1" bestFit="1" customWidth="1"/>
    <col min="8" max="9" width="5.85546875" style="1" customWidth="1"/>
    <col min="10" max="10" width="6" style="1" bestFit="1" customWidth="1"/>
    <col min="11" max="11" width="7" style="1" bestFit="1" customWidth="1"/>
    <col min="12" max="12" width="6" style="1" bestFit="1" customWidth="1"/>
    <col min="13" max="14" width="5.85546875" style="1" customWidth="1"/>
    <col min="15" max="15" width="6.7109375" style="1" bestFit="1" customWidth="1"/>
    <col min="16" max="16" width="5.85546875" style="1" customWidth="1"/>
    <col min="17" max="17" width="6" style="1" bestFit="1" customWidth="1"/>
    <col min="18" max="18" width="8.7109375" style="1" bestFit="1" customWidth="1"/>
    <col min="19" max="21" width="7.5703125" style="1" customWidth="1"/>
    <col min="22" max="22" width="5.5703125" style="1" bestFit="1" customWidth="1"/>
    <col min="23" max="24" width="4.42578125" style="1" bestFit="1" customWidth="1"/>
    <col min="25" max="25" width="6.7109375" style="1" bestFit="1" customWidth="1"/>
    <col min="26" max="26" width="7" style="1" bestFit="1" customWidth="1"/>
    <col min="27" max="27" width="5.5703125" style="1" bestFit="1" customWidth="1"/>
    <col min="28" max="29" width="3.85546875" style="1" customWidth="1"/>
    <col min="30" max="30" width="6" style="1" bestFit="1" customWidth="1"/>
    <col min="31" max="31" width="7" style="1" bestFit="1" customWidth="1"/>
    <col min="32" max="32" width="5.5703125" style="1" bestFit="1" customWidth="1"/>
    <col min="33" max="33" width="3.42578125" style="1" customWidth="1"/>
    <col min="34" max="34" width="3.28515625" style="1" bestFit="1" customWidth="1"/>
    <col min="35" max="35" width="6" style="1" bestFit="1" customWidth="1"/>
    <col min="36" max="36" width="7" style="1" bestFit="1" customWidth="1"/>
    <col min="37" max="16384" width="7.7109375" style="1"/>
  </cols>
  <sheetData>
    <row r="1" spans="1:41" ht="16.5" thickBot="1" x14ac:dyDescent="0.3">
      <c r="A1" s="357" t="s">
        <v>122</v>
      </c>
      <c r="B1" s="358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41" ht="15.75" thickBot="1" x14ac:dyDescent="0.3">
      <c r="A2" s="359" t="s">
        <v>7</v>
      </c>
      <c r="B2" s="360">
        <v>17</v>
      </c>
      <c r="C2" s="78"/>
      <c r="D2"/>
      <c r="E2"/>
      <c r="F2"/>
      <c r="G2"/>
      <c r="M2" s="317" t="s">
        <v>175</v>
      </c>
      <c r="N2" s="318"/>
      <c r="O2" s="318"/>
      <c r="P2" s="318"/>
      <c r="Q2" s="318"/>
      <c r="R2" s="318"/>
      <c r="S2" s="318"/>
      <c r="T2" s="318"/>
      <c r="U2" s="319"/>
    </row>
    <row r="3" spans="1:41" x14ac:dyDescent="0.25">
      <c r="A3" s="361" t="s">
        <v>4</v>
      </c>
      <c r="B3" s="360">
        <v>7</v>
      </c>
      <c r="C3" s="78"/>
      <c r="D3"/>
      <c r="E3"/>
      <c r="F3"/>
      <c r="G3"/>
      <c r="M3" s="320" t="s">
        <v>8</v>
      </c>
      <c r="N3" s="321"/>
      <c r="O3" s="321"/>
      <c r="P3" s="321"/>
      <c r="Q3" s="54">
        <f>(AF17-B17)/1000</f>
        <v>2.3439999999999999</v>
      </c>
      <c r="R3" s="55" t="s">
        <v>9</v>
      </c>
      <c r="S3" s="321"/>
      <c r="T3" s="321"/>
      <c r="U3" s="322"/>
    </row>
    <row r="4" spans="1:41" ht="15.75" thickBot="1" x14ac:dyDescent="0.3">
      <c r="A4" s="362" t="s">
        <v>5</v>
      </c>
      <c r="B4" s="363">
        <v>4</v>
      </c>
      <c r="C4"/>
      <c r="D4" s="326"/>
      <c r="E4" s="326"/>
      <c r="F4" s="326"/>
      <c r="G4"/>
      <c r="M4" s="323" t="s">
        <v>10</v>
      </c>
      <c r="N4" s="324"/>
      <c r="O4" s="324"/>
      <c r="P4" s="324"/>
      <c r="Q4" s="56">
        <f>R18/500</f>
        <v>0.41665859338973005</v>
      </c>
      <c r="R4" s="57" t="s">
        <v>9</v>
      </c>
      <c r="S4" s="324"/>
      <c r="T4" s="324"/>
      <c r="U4" s="325"/>
    </row>
    <row r="5" spans="1:41" x14ac:dyDescent="0.25">
      <c r="A5"/>
      <c r="B5"/>
      <c r="C5"/>
      <c r="D5" s="326"/>
      <c r="E5" s="326"/>
      <c r="F5" s="326"/>
      <c r="G5"/>
      <c r="M5" s="320" t="s">
        <v>11</v>
      </c>
      <c r="N5" s="321"/>
      <c r="O5" s="321"/>
      <c r="P5" s="321"/>
      <c r="Q5" s="54">
        <f>(AA19-G19)/1000</f>
        <v>2.1970000000000001</v>
      </c>
      <c r="R5" s="55" t="s">
        <v>9</v>
      </c>
      <c r="S5" s="321"/>
      <c r="T5" s="321"/>
      <c r="U5" s="322"/>
    </row>
    <row r="6" spans="1:41" x14ac:dyDescent="0.25">
      <c r="A6"/>
      <c r="B6"/>
      <c r="C6"/>
      <c r="D6" s="326"/>
      <c r="E6" s="326"/>
      <c r="F6" s="326"/>
      <c r="G6"/>
      <c r="M6" s="320" t="s">
        <v>12</v>
      </c>
      <c r="N6" s="321"/>
      <c r="O6" s="321"/>
      <c r="P6" s="321"/>
      <c r="Q6" s="54">
        <f>M19/500</f>
        <v>0.26413178688098959</v>
      </c>
      <c r="R6" s="55" t="s">
        <v>9</v>
      </c>
      <c r="S6" s="321" t="s">
        <v>13</v>
      </c>
      <c r="T6" s="321"/>
      <c r="U6" s="322"/>
    </row>
    <row r="7" spans="1:41" x14ac:dyDescent="0.25">
      <c r="A7"/>
      <c r="B7"/>
      <c r="C7"/>
      <c r="D7"/>
      <c r="E7"/>
      <c r="F7"/>
      <c r="G7"/>
      <c r="M7" s="320" t="s">
        <v>14</v>
      </c>
      <c r="N7" s="321"/>
      <c r="O7" s="321"/>
      <c r="P7" s="321"/>
      <c r="Q7" s="54">
        <f>-S20/1000</f>
        <v>6.9753112732655692E-2</v>
      </c>
      <c r="R7" s="55" t="s">
        <v>9</v>
      </c>
      <c r="S7" s="321"/>
      <c r="T7" s="321"/>
      <c r="U7" s="322"/>
    </row>
    <row r="8" spans="1:41" x14ac:dyDescent="0.25">
      <c r="A8"/>
      <c r="B8"/>
      <c r="C8"/>
      <c r="D8"/>
      <c r="E8"/>
      <c r="F8"/>
      <c r="G8"/>
      <c r="M8" s="320" t="s">
        <v>120</v>
      </c>
      <c r="N8" s="321"/>
      <c r="O8" s="321"/>
      <c r="P8" s="321"/>
      <c r="Q8" s="54">
        <f>(I20-S20)/1000</f>
        <v>6.9753112732655692E-2</v>
      </c>
      <c r="R8" s="55" t="s">
        <v>9</v>
      </c>
      <c r="S8" s="321"/>
      <c r="T8" s="321"/>
      <c r="U8" s="322"/>
    </row>
    <row r="9" spans="1:41" x14ac:dyDescent="0.25">
      <c r="A9"/>
      <c r="B9"/>
      <c r="C9"/>
      <c r="D9"/>
      <c r="E9"/>
      <c r="F9"/>
      <c r="G9"/>
      <c r="M9" s="320" t="s">
        <v>119</v>
      </c>
      <c r="N9" s="321"/>
      <c r="O9" s="321"/>
      <c r="P9" s="321"/>
      <c r="Q9" s="86">
        <f>DEGREES(ATAN2(R19-R20,S19-S20))</f>
        <v>7.4808861795236794</v>
      </c>
      <c r="R9" s="55" t="s">
        <v>118</v>
      </c>
      <c r="S9" s="321"/>
      <c r="T9" s="321"/>
      <c r="U9" s="322"/>
    </row>
    <row r="10" spans="1:41" x14ac:dyDescent="0.25">
      <c r="M10" s="320" t="s">
        <v>15</v>
      </c>
      <c r="N10" s="321"/>
      <c r="O10" s="321"/>
      <c r="P10" s="321"/>
      <c r="Q10" s="54">
        <f>S17/1000</f>
        <v>0.14229634997461765</v>
      </c>
      <c r="R10" s="55" t="s">
        <v>9</v>
      </c>
      <c r="S10" s="321"/>
      <c r="T10" s="321"/>
      <c r="U10" s="322"/>
    </row>
    <row r="11" spans="1:41" x14ac:dyDescent="0.25">
      <c r="A11" s="330" t="s">
        <v>117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M11" s="320" t="s">
        <v>16</v>
      </c>
      <c r="N11" s="321"/>
      <c r="O11" s="321"/>
      <c r="P11" s="321"/>
      <c r="Q11" s="54">
        <f>I17/1000</f>
        <v>0</v>
      </c>
      <c r="R11" s="55" t="s">
        <v>9</v>
      </c>
      <c r="S11" s="321"/>
      <c r="T11" s="321"/>
      <c r="U11" s="322"/>
    </row>
    <row r="12" spans="1:41" ht="15.75" thickBot="1" x14ac:dyDescent="0.3">
      <c r="A12" s="330" t="s">
        <v>116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M12" s="323" t="s">
        <v>17</v>
      </c>
      <c r="N12" s="324"/>
      <c r="O12" s="324"/>
      <c r="P12" s="324"/>
      <c r="Q12" s="56">
        <f>X17/1000</f>
        <v>0.11253502187535119</v>
      </c>
      <c r="R12" s="57" t="s">
        <v>9</v>
      </c>
      <c r="S12" s="324"/>
      <c r="T12" s="324"/>
      <c r="U12" s="325"/>
    </row>
    <row r="13" spans="1:41" x14ac:dyDescent="0.25">
      <c r="A13" s="330" t="s">
        <v>115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56"/>
      <c r="M13" s="356"/>
      <c r="N13" s="356"/>
      <c r="O13" s="356"/>
      <c r="P13" s="356"/>
    </row>
    <row r="14" spans="1:41" ht="15.75" thickBot="1" x14ac:dyDescent="0.3">
      <c r="A14" s="85"/>
    </row>
    <row r="15" spans="1:41" s="3" customFormat="1" x14ac:dyDescent="0.25">
      <c r="A15" s="353" t="s">
        <v>96</v>
      </c>
      <c r="B15" s="327">
        <v>1</v>
      </c>
      <c r="C15" s="327"/>
      <c r="D15" s="327"/>
      <c r="E15" s="327"/>
      <c r="F15" s="328"/>
      <c r="G15" s="329">
        <v>2</v>
      </c>
      <c r="H15" s="327"/>
      <c r="I15" s="327"/>
      <c r="J15" s="327"/>
      <c r="K15" s="328"/>
      <c r="L15" s="329">
        <v>3</v>
      </c>
      <c r="M15" s="327"/>
      <c r="N15" s="327"/>
      <c r="O15" s="327"/>
      <c r="P15" s="328"/>
      <c r="Q15" s="329">
        <v>4</v>
      </c>
      <c r="R15" s="327"/>
      <c r="S15" s="327"/>
      <c r="T15" s="327"/>
      <c r="U15" s="328"/>
      <c r="V15" s="329">
        <v>5</v>
      </c>
      <c r="W15" s="327"/>
      <c r="X15" s="327"/>
      <c r="Y15" s="327"/>
      <c r="Z15" s="328"/>
      <c r="AA15" s="329">
        <v>6</v>
      </c>
      <c r="AB15" s="327"/>
      <c r="AC15" s="327"/>
      <c r="AD15" s="327"/>
      <c r="AE15" s="328"/>
      <c r="AF15" s="329">
        <v>7</v>
      </c>
      <c r="AG15" s="327"/>
      <c r="AH15" s="327"/>
      <c r="AI15" s="327"/>
      <c r="AJ15" s="328"/>
      <c r="AK15" s="81"/>
      <c r="AL15" s="81"/>
      <c r="AM15" s="81"/>
      <c r="AN15" s="81"/>
      <c r="AO15" s="81"/>
    </row>
    <row r="16" spans="1:41" s="3" customFormat="1" x14ac:dyDescent="0.25">
      <c r="A16" s="354" t="s">
        <v>0</v>
      </c>
      <c r="B16" s="84" t="s">
        <v>1</v>
      </c>
      <c r="C16" s="83" t="s">
        <v>2</v>
      </c>
      <c r="D16" s="83" t="s">
        <v>3</v>
      </c>
      <c r="E16" s="83" t="s">
        <v>76</v>
      </c>
      <c r="F16" s="82" t="s">
        <v>77</v>
      </c>
      <c r="G16" s="83" t="s">
        <v>1</v>
      </c>
      <c r="H16" s="83" t="s">
        <v>2</v>
      </c>
      <c r="I16" s="83" t="s">
        <v>3</v>
      </c>
      <c r="J16" s="83" t="s">
        <v>76</v>
      </c>
      <c r="K16" s="82" t="s">
        <v>77</v>
      </c>
      <c r="L16" s="83" t="s">
        <v>1</v>
      </c>
      <c r="M16" s="83" t="s">
        <v>2</v>
      </c>
      <c r="N16" s="83" t="s">
        <v>3</v>
      </c>
      <c r="O16" s="83" t="s">
        <v>76</v>
      </c>
      <c r="P16" s="82" t="s">
        <v>77</v>
      </c>
      <c r="Q16" s="83" t="s">
        <v>1</v>
      </c>
      <c r="R16" s="83" t="s">
        <v>2</v>
      </c>
      <c r="S16" s="83" t="s">
        <v>3</v>
      </c>
      <c r="T16" s="83" t="s">
        <v>76</v>
      </c>
      <c r="U16" s="82" t="s">
        <v>77</v>
      </c>
      <c r="V16" s="83" t="s">
        <v>1</v>
      </c>
      <c r="W16" s="83" t="s">
        <v>2</v>
      </c>
      <c r="X16" s="83" t="s">
        <v>3</v>
      </c>
      <c r="Y16" s="83" t="s">
        <v>76</v>
      </c>
      <c r="Z16" s="82" t="s">
        <v>77</v>
      </c>
      <c r="AA16" s="83" t="s">
        <v>1</v>
      </c>
      <c r="AB16" s="83" t="s">
        <v>2</v>
      </c>
      <c r="AC16" s="83" t="s">
        <v>3</v>
      </c>
      <c r="AD16" s="83" t="s">
        <v>76</v>
      </c>
      <c r="AE16" s="82" t="s">
        <v>77</v>
      </c>
      <c r="AF16" s="83" t="s">
        <v>1</v>
      </c>
      <c r="AG16" s="83" t="s">
        <v>2</v>
      </c>
      <c r="AH16" s="83" t="s">
        <v>3</v>
      </c>
      <c r="AI16" s="83" t="s">
        <v>76</v>
      </c>
      <c r="AJ16" s="82" t="s">
        <v>77</v>
      </c>
      <c r="AK16" s="81"/>
      <c r="AL16" s="81"/>
      <c r="AM16" s="81"/>
      <c r="AN16" s="81"/>
      <c r="AO16" s="81"/>
    </row>
    <row r="17" spans="1:36" s="61" customFormat="1" x14ac:dyDescent="0.25">
      <c r="A17" s="115" t="s">
        <v>82</v>
      </c>
      <c r="B17" s="96">
        <v>20</v>
      </c>
      <c r="C17" s="94">
        <v>0.2362305417879273</v>
      </c>
      <c r="D17" s="94">
        <v>146.94655749012799</v>
      </c>
      <c r="E17" s="94" t="b">
        <v>1</v>
      </c>
      <c r="F17" s="95">
        <v>3.7914691943127963</v>
      </c>
      <c r="G17" s="96"/>
      <c r="H17" s="94"/>
      <c r="I17" s="94"/>
      <c r="J17" s="94"/>
      <c r="K17" s="95"/>
      <c r="L17" s="88">
        <v>604</v>
      </c>
      <c r="M17" s="94">
        <v>0</v>
      </c>
      <c r="N17" s="88">
        <v>144.15643298082179</v>
      </c>
      <c r="O17" s="94" t="b">
        <v>0</v>
      </c>
      <c r="P17" s="95">
        <v>3.7914691943127963</v>
      </c>
      <c r="Q17" s="88">
        <v>1200</v>
      </c>
      <c r="R17" s="97">
        <v>0</v>
      </c>
      <c r="S17" s="97">
        <v>142.29634997461764</v>
      </c>
      <c r="T17" s="94" t="b">
        <v>0</v>
      </c>
      <c r="U17" s="95">
        <v>3.7914691943127963</v>
      </c>
      <c r="V17" s="88">
        <v>1777</v>
      </c>
      <c r="W17" s="94">
        <v>0</v>
      </c>
      <c r="X17" s="94">
        <v>112.53502187535119</v>
      </c>
      <c r="Y17" s="94" t="b">
        <v>0</v>
      </c>
      <c r="Z17" s="95">
        <v>3.7914691943127963</v>
      </c>
      <c r="AA17" s="88"/>
      <c r="AB17" s="94"/>
      <c r="AC17" s="88"/>
      <c r="AD17" s="94"/>
      <c r="AE17" s="95"/>
      <c r="AF17" s="88">
        <v>2364</v>
      </c>
      <c r="AG17" s="94">
        <v>0</v>
      </c>
      <c r="AH17" s="88">
        <v>92.074108807105517</v>
      </c>
      <c r="AI17" s="94" t="b">
        <v>1</v>
      </c>
      <c r="AJ17" s="95">
        <v>0</v>
      </c>
    </row>
    <row r="18" spans="1:36" s="61" customFormat="1" x14ac:dyDescent="0.25">
      <c r="A18" s="103" t="s">
        <v>78</v>
      </c>
      <c r="B18" s="87">
        <v>20</v>
      </c>
      <c r="C18" s="88">
        <v>0.2362305417879273</v>
      </c>
      <c r="D18" s="88">
        <v>146.94655749012799</v>
      </c>
      <c r="E18" s="94" t="b">
        <v>1</v>
      </c>
      <c r="F18" s="89">
        <v>2.8436018957345972</v>
      </c>
      <c r="G18" s="87"/>
      <c r="H18" s="88"/>
      <c r="I18" s="88"/>
      <c r="J18" s="94"/>
      <c r="K18" s="89"/>
      <c r="L18" s="88">
        <v>604</v>
      </c>
      <c r="M18" s="88">
        <v>157.17701402425084</v>
      </c>
      <c r="N18" s="88">
        <v>106.02473135363667</v>
      </c>
      <c r="O18" s="94" t="b">
        <v>0</v>
      </c>
      <c r="P18" s="89">
        <v>2.8436018957345972</v>
      </c>
      <c r="Q18" s="88">
        <v>1200</v>
      </c>
      <c r="R18" s="88">
        <v>208.32929669486504</v>
      </c>
      <c r="S18" s="88">
        <v>92.074108807105517</v>
      </c>
      <c r="T18" s="94" t="b">
        <v>0</v>
      </c>
      <c r="U18" s="89">
        <v>2.8436018957345972</v>
      </c>
      <c r="V18" s="88">
        <v>1777</v>
      </c>
      <c r="W18" s="88">
        <v>157.17701402425084</v>
      </c>
      <c r="X18" s="88">
        <v>92.074108807105517</v>
      </c>
      <c r="Y18" s="94" t="b">
        <v>0</v>
      </c>
      <c r="Z18" s="89">
        <v>2.8436018957345972</v>
      </c>
      <c r="AA18" s="88"/>
      <c r="AB18" s="88"/>
      <c r="AC18" s="88"/>
      <c r="AD18" s="94"/>
      <c r="AE18" s="89"/>
      <c r="AF18" s="88">
        <v>2364</v>
      </c>
      <c r="AG18" s="88">
        <v>0</v>
      </c>
      <c r="AH18" s="88">
        <v>92.074108807105517</v>
      </c>
      <c r="AI18" s="94" t="b">
        <v>1</v>
      </c>
      <c r="AJ18" s="89">
        <v>0</v>
      </c>
    </row>
    <row r="19" spans="1:36" s="61" customFormat="1" x14ac:dyDescent="0.25">
      <c r="A19" s="103" t="s">
        <v>0</v>
      </c>
      <c r="B19" s="87">
        <v>20</v>
      </c>
      <c r="C19" s="88">
        <v>0.2362305417879273</v>
      </c>
      <c r="D19" s="94">
        <v>146.94655749012799</v>
      </c>
      <c r="E19" s="94" t="b">
        <v>1</v>
      </c>
      <c r="F19" s="89">
        <v>1.8957345971563981</v>
      </c>
      <c r="G19" s="87">
        <v>135</v>
      </c>
      <c r="H19" s="88">
        <v>0.2362305417879273</v>
      </c>
      <c r="I19" s="88">
        <v>0</v>
      </c>
      <c r="J19" s="94" t="b">
        <v>1</v>
      </c>
      <c r="K19" s="89">
        <v>1.8957345971563981</v>
      </c>
      <c r="L19" s="88">
        <v>604</v>
      </c>
      <c r="M19" s="88">
        <v>132.06589344049479</v>
      </c>
      <c r="N19" s="88">
        <v>-24.181079080653976</v>
      </c>
      <c r="O19" s="94" t="b">
        <v>0</v>
      </c>
      <c r="P19" s="89">
        <v>1.8957345971563981</v>
      </c>
      <c r="Q19" s="88">
        <v>1200</v>
      </c>
      <c r="R19" s="88">
        <v>184.14821761421103</v>
      </c>
      <c r="S19" s="88">
        <v>-45.572033652001714</v>
      </c>
      <c r="T19" s="94" t="b">
        <v>0</v>
      </c>
      <c r="U19" s="89">
        <v>1.8957345971563981</v>
      </c>
      <c r="V19" s="88">
        <v>1777</v>
      </c>
      <c r="W19" s="88">
        <v>132.06589344049479</v>
      </c>
      <c r="X19" s="88">
        <v>-26.971203589960204</v>
      </c>
      <c r="Y19" s="94" t="b">
        <v>0</v>
      </c>
      <c r="Z19" s="89">
        <v>1.8957345971563981</v>
      </c>
      <c r="AA19" s="88">
        <v>2332</v>
      </c>
      <c r="AB19" s="88">
        <v>0</v>
      </c>
      <c r="AC19" s="88">
        <v>0</v>
      </c>
      <c r="AD19" s="94" t="b">
        <v>1</v>
      </c>
      <c r="AE19" s="89">
        <v>1.8957345971563981</v>
      </c>
      <c r="AF19" s="88">
        <v>2364</v>
      </c>
      <c r="AG19" s="88">
        <v>0</v>
      </c>
      <c r="AH19" s="88">
        <v>92.074108807105517</v>
      </c>
      <c r="AI19" s="94" t="b">
        <v>1</v>
      </c>
      <c r="AJ19" s="305">
        <v>0</v>
      </c>
    </row>
    <row r="20" spans="1:36" s="61" customFormat="1" x14ac:dyDescent="0.25">
      <c r="A20" s="103" t="s">
        <v>114</v>
      </c>
      <c r="B20" s="87">
        <v>20</v>
      </c>
      <c r="C20" s="88">
        <v>0.2362305417879273</v>
      </c>
      <c r="D20" s="88">
        <v>146.94655749012799</v>
      </c>
      <c r="E20" s="94" t="b">
        <v>1</v>
      </c>
      <c r="F20" s="89">
        <v>0.94786729857819907</v>
      </c>
      <c r="G20" s="87">
        <v>135</v>
      </c>
      <c r="H20" s="88">
        <v>0.2362305417879273</v>
      </c>
      <c r="I20" s="88">
        <v>0</v>
      </c>
      <c r="J20" s="94" t="b">
        <v>1</v>
      </c>
      <c r="K20" s="89">
        <v>0.94786729857819907</v>
      </c>
      <c r="L20" s="88">
        <v>604</v>
      </c>
      <c r="M20" s="88">
        <v>0.2362305417879273</v>
      </c>
      <c r="N20" s="88">
        <v>-48.362158161307953</v>
      </c>
      <c r="O20" s="94" t="b">
        <v>0</v>
      </c>
      <c r="P20" s="89">
        <v>0.94786729857819907</v>
      </c>
      <c r="Q20" s="88">
        <v>1200</v>
      </c>
      <c r="R20" s="88">
        <v>0</v>
      </c>
      <c r="S20" s="88">
        <v>-69.753112732655694</v>
      </c>
      <c r="T20" s="94" t="b">
        <v>0</v>
      </c>
      <c r="U20" s="89">
        <v>0.94786729857819907</v>
      </c>
      <c r="V20" s="88">
        <v>1777</v>
      </c>
      <c r="W20" s="88">
        <v>0</v>
      </c>
      <c r="X20" s="88">
        <v>-51.152282670614177</v>
      </c>
      <c r="Y20" s="94" t="b">
        <v>0</v>
      </c>
      <c r="Z20" s="89">
        <v>0.94786729857819907</v>
      </c>
      <c r="AA20" s="88">
        <v>2332</v>
      </c>
      <c r="AB20" s="88">
        <v>0</v>
      </c>
      <c r="AC20" s="88">
        <v>0</v>
      </c>
      <c r="AD20" s="94" t="b">
        <v>1</v>
      </c>
      <c r="AE20" s="89">
        <v>0.94786729857819907</v>
      </c>
      <c r="AF20" s="88">
        <v>2364</v>
      </c>
      <c r="AG20" s="88">
        <v>0</v>
      </c>
      <c r="AH20" s="88">
        <v>92.074108807105517</v>
      </c>
      <c r="AI20" s="94" t="b">
        <v>1</v>
      </c>
      <c r="AJ20" s="305">
        <v>0</v>
      </c>
    </row>
    <row r="21" spans="1:36" s="61" customFormat="1" x14ac:dyDescent="0.25">
      <c r="A21" s="103"/>
      <c r="B21" s="87"/>
      <c r="C21" s="88"/>
      <c r="D21" s="88"/>
      <c r="E21" s="88"/>
      <c r="F21" s="89"/>
      <c r="G21" s="87"/>
      <c r="H21" s="88"/>
      <c r="I21" s="88"/>
      <c r="J21" s="88"/>
      <c r="K21" s="89"/>
      <c r="L21" s="88"/>
      <c r="M21" s="88"/>
      <c r="N21" s="88"/>
      <c r="O21" s="88"/>
      <c r="P21" s="89"/>
      <c r="Q21" s="88"/>
      <c r="R21" s="88"/>
      <c r="S21" s="88"/>
      <c r="T21" s="88"/>
      <c r="U21" s="89"/>
      <c r="V21" s="88"/>
      <c r="W21" s="88"/>
      <c r="X21" s="88"/>
      <c r="Y21" s="88"/>
      <c r="Z21" s="89"/>
      <c r="AA21" s="88"/>
      <c r="AB21" s="88"/>
      <c r="AC21" s="88"/>
      <c r="AD21" s="88"/>
      <c r="AE21" s="89"/>
      <c r="AF21" s="88"/>
      <c r="AG21" s="88"/>
      <c r="AH21" s="88"/>
      <c r="AI21" s="91"/>
      <c r="AJ21" s="90"/>
    </row>
    <row r="22" spans="1:36" s="80" customFormat="1" ht="15.75" thickBot="1" x14ac:dyDescent="0.3">
      <c r="A22" s="104"/>
      <c r="B22" s="98"/>
      <c r="C22" s="99"/>
      <c r="D22" s="99"/>
      <c r="E22" s="99"/>
      <c r="F22" s="100"/>
      <c r="G22" s="99"/>
      <c r="H22" s="99"/>
      <c r="I22" s="99"/>
      <c r="J22" s="99"/>
      <c r="K22" s="100"/>
      <c r="L22" s="99"/>
      <c r="M22" s="99"/>
      <c r="N22" s="99"/>
      <c r="O22" s="99"/>
      <c r="P22" s="100"/>
      <c r="Q22" s="99"/>
      <c r="R22" s="99"/>
      <c r="S22" s="99"/>
      <c r="T22" s="99"/>
      <c r="U22" s="100"/>
      <c r="V22" s="99"/>
      <c r="W22" s="99"/>
      <c r="X22" s="99"/>
      <c r="Y22" s="99"/>
      <c r="Z22" s="100"/>
      <c r="AA22" s="99"/>
      <c r="AB22" s="99"/>
      <c r="AC22" s="99"/>
      <c r="AD22" s="101"/>
      <c r="AE22" s="102"/>
      <c r="AF22" s="99"/>
      <c r="AG22" s="99"/>
      <c r="AH22" s="99"/>
      <c r="AI22" s="92"/>
      <c r="AJ22" s="93"/>
    </row>
    <row r="23" spans="1:36" s="80" customFormat="1" x14ac:dyDescent="0.25"/>
    <row r="24" spans="1:36" customFormat="1" x14ac:dyDescent="0.25"/>
    <row r="25" spans="1:36" customFormat="1" x14ac:dyDescent="0.25"/>
    <row r="26" spans="1:36" customFormat="1" x14ac:dyDescent="0.25"/>
    <row r="27" spans="1:36" customFormat="1" x14ac:dyDescent="0.25"/>
    <row r="28" spans="1:36" customFormat="1" x14ac:dyDescent="0.25"/>
    <row r="29" spans="1:36" customFormat="1" x14ac:dyDescent="0.25"/>
    <row r="30" spans="1:36" customFormat="1" x14ac:dyDescent="0.25"/>
    <row r="31" spans="1:36" customFormat="1" x14ac:dyDescent="0.25"/>
    <row r="32" spans="1:36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spans="2:5" customFormat="1" x14ac:dyDescent="0.25"/>
    <row r="146" spans="2:5" customFormat="1" x14ac:dyDescent="0.25"/>
    <row r="147" spans="2:5" customFormat="1" x14ac:dyDescent="0.25"/>
    <row r="148" spans="2:5" customFormat="1" x14ac:dyDescent="0.25"/>
    <row r="149" spans="2:5" x14ac:dyDescent="0.25">
      <c r="B149" s="79"/>
      <c r="C149" s="2"/>
      <c r="D149" s="2"/>
      <c r="E149" s="2"/>
    </row>
    <row r="150" spans="2:5" x14ac:dyDescent="0.25">
      <c r="B150" s="79"/>
      <c r="C150" s="2"/>
      <c r="D150" s="2"/>
      <c r="E150" s="2"/>
    </row>
    <row r="151" spans="2:5" x14ac:dyDescent="0.25">
      <c r="B151" s="79"/>
      <c r="C151" s="2"/>
      <c r="D151" s="2"/>
      <c r="E151" s="2"/>
    </row>
    <row r="152" spans="2:5" x14ac:dyDescent="0.25">
      <c r="B152" s="79"/>
      <c r="C152" s="2"/>
      <c r="D152" s="2"/>
      <c r="E152" s="2"/>
    </row>
    <row r="153" spans="2:5" x14ac:dyDescent="0.25">
      <c r="B153" s="79"/>
      <c r="C153" s="2"/>
      <c r="D153" s="2"/>
      <c r="E153" s="2"/>
    </row>
    <row r="154" spans="2:5" x14ac:dyDescent="0.25">
      <c r="B154" s="79"/>
      <c r="C154" s="2"/>
      <c r="D154" s="2"/>
      <c r="E154" s="2"/>
    </row>
    <row r="155" spans="2:5" x14ac:dyDescent="0.25">
      <c r="B155" s="79"/>
      <c r="C155" s="2"/>
      <c r="D155" s="2"/>
      <c r="E155" s="2"/>
    </row>
    <row r="156" spans="2:5" x14ac:dyDescent="0.25">
      <c r="B156" s="79"/>
      <c r="C156" s="2"/>
      <c r="D156" s="2"/>
      <c r="E156" s="2"/>
    </row>
    <row r="157" spans="2:5" x14ac:dyDescent="0.25">
      <c r="B157" s="79"/>
      <c r="C157" s="2"/>
      <c r="D157" s="2"/>
      <c r="E157" s="2"/>
    </row>
    <row r="158" spans="2:5" x14ac:dyDescent="0.25">
      <c r="B158" s="79"/>
      <c r="C158" s="2"/>
      <c r="D158" s="2"/>
      <c r="E158" s="2"/>
    </row>
    <row r="159" spans="2:5" x14ac:dyDescent="0.25">
      <c r="B159" s="79"/>
      <c r="C159" s="2"/>
      <c r="D159" s="2"/>
      <c r="E159" s="2"/>
    </row>
    <row r="160" spans="2:5" x14ac:dyDescent="0.25">
      <c r="B160" s="79"/>
      <c r="C160" s="2"/>
      <c r="D160" s="2"/>
      <c r="E160" s="2"/>
    </row>
    <row r="161" spans="2:5" x14ac:dyDescent="0.25">
      <c r="B161" s="79"/>
      <c r="C161" s="2"/>
      <c r="D161" s="2"/>
      <c r="E161" s="2"/>
    </row>
    <row r="162" spans="2:5" x14ac:dyDescent="0.25">
      <c r="B162" s="79"/>
      <c r="C162" s="2"/>
      <c r="D162" s="2"/>
      <c r="E162" s="2"/>
    </row>
    <row r="163" spans="2:5" x14ac:dyDescent="0.25">
      <c r="B163" s="79"/>
      <c r="C163" s="2"/>
      <c r="D163" s="2"/>
      <c r="E163" s="2"/>
    </row>
    <row r="164" spans="2:5" x14ac:dyDescent="0.25">
      <c r="B164" s="79"/>
      <c r="C164" s="2"/>
      <c r="D164" s="2"/>
      <c r="E164" s="2"/>
    </row>
    <row r="165" spans="2:5" x14ac:dyDescent="0.25">
      <c r="B165" s="79"/>
      <c r="C165" s="2"/>
      <c r="D165" s="2"/>
      <c r="E165" s="2"/>
    </row>
    <row r="166" spans="2:5" x14ac:dyDescent="0.25">
      <c r="B166" s="79"/>
      <c r="C166" s="2"/>
      <c r="D166" s="2"/>
      <c r="E166" s="2"/>
    </row>
    <row r="167" spans="2:5" x14ac:dyDescent="0.25">
      <c r="B167" s="79"/>
      <c r="C167" s="2"/>
      <c r="D167" s="2"/>
      <c r="E167" s="2"/>
    </row>
    <row r="168" spans="2:5" x14ac:dyDescent="0.25">
      <c r="B168" s="79"/>
      <c r="C168" s="2"/>
      <c r="D168" s="2"/>
      <c r="E168" s="2"/>
    </row>
    <row r="169" spans="2:5" x14ac:dyDescent="0.25">
      <c r="B169" s="79"/>
      <c r="C169" s="2"/>
      <c r="D169" s="2"/>
      <c r="E169" s="2"/>
    </row>
    <row r="170" spans="2:5" x14ac:dyDescent="0.25">
      <c r="B170" s="79"/>
      <c r="C170" s="2"/>
      <c r="D170" s="2"/>
      <c r="E170" s="2"/>
    </row>
    <row r="171" spans="2:5" x14ac:dyDescent="0.25">
      <c r="B171" s="79"/>
      <c r="C171" s="2"/>
      <c r="D171" s="2"/>
      <c r="E171" s="2"/>
    </row>
    <row r="172" spans="2:5" x14ac:dyDescent="0.25">
      <c r="B172" s="79"/>
      <c r="C172" s="2"/>
      <c r="D172" s="2"/>
      <c r="E172" s="2"/>
    </row>
    <row r="173" spans="2:5" x14ac:dyDescent="0.25">
      <c r="B173" s="79"/>
      <c r="C173" s="2"/>
      <c r="D173" s="2"/>
      <c r="E173" s="2"/>
    </row>
    <row r="174" spans="2:5" x14ac:dyDescent="0.25">
      <c r="B174" s="79"/>
      <c r="C174" s="2"/>
      <c r="D174" s="2"/>
      <c r="E174" s="2"/>
    </row>
    <row r="175" spans="2:5" x14ac:dyDescent="0.25">
      <c r="B175" s="79"/>
      <c r="C175" s="2"/>
      <c r="D175" s="2"/>
      <c r="E175" s="2"/>
    </row>
    <row r="176" spans="2:5" x14ac:dyDescent="0.25">
      <c r="B176" s="79"/>
      <c r="C176" s="2"/>
      <c r="D176" s="2"/>
      <c r="E176" s="2"/>
    </row>
    <row r="177" spans="2:5" x14ac:dyDescent="0.25">
      <c r="B177" s="79"/>
      <c r="C177" s="2"/>
      <c r="D177" s="2"/>
      <c r="E177" s="2"/>
    </row>
    <row r="178" spans="2:5" x14ac:dyDescent="0.25">
      <c r="B178" s="79"/>
      <c r="C178" s="2"/>
      <c r="D178" s="2"/>
      <c r="E178" s="2"/>
    </row>
    <row r="179" spans="2:5" x14ac:dyDescent="0.25">
      <c r="B179" s="79"/>
      <c r="C179" s="2"/>
      <c r="D179" s="2"/>
      <c r="E179" s="2"/>
    </row>
    <row r="180" spans="2:5" x14ac:dyDescent="0.25">
      <c r="B180" s="79"/>
      <c r="C180" s="2"/>
      <c r="D180" s="2"/>
      <c r="E180" s="2"/>
    </row>
    <row r="181" spans="2:5" x14ac:dyDescent="0.25">
      <c r="B181" s="79"/>
      <c r="C181" s="2"/>
      <c r="D181" s="2"/>
      <c r="E181" s="2"/>
    </row>
    <row r="182" spans="2:5" x14ac:dyDescent="0.25">
      <c r="B182" s="79"/>
      <c r="C182" s="2"/>
      <c r="D182" s="2"/>
      <c r="E182" s="2"/>
    </row>
    <row r="183" spans="2:5" x14ac:dyDescent="0.25">
      <c r="B183" s="79"/>
      <c r="C183" s="2"/>
      <c r="D183" s="2"/>
      <c r="E183" s="2"/>
    </row>
    <row r="184" spans="2:5" x14ac:dyDescent="0.25">
      <c r="B184" s="79"/>
      <c r="C184" s="2"/>
      <c r="D184" s="2"/>
      <c r="E184" s="2"/>
    </row>
    <row r="185" spans="2:5" x14ac:dyDescent="0.25">
      <c r="B185" s="79"/>
      <c r="C185" s="2"/>
      <c r="D185" s="2"/>
      <c r="E185" s="2"/>
    </row>
    <row r="186" spans="2:5" x14ac:dyDescent="0.25">
      <c r="B186" s="79"/>
      <c r="C186" s="2"/>
      <c r="D186" s="2"/>
      <c r="E186" s="2"/>
    </row>
    <row r="187" spans="2:5" x14ac:dyDescent="0.25">
      <c r="B187" s="79"/>
      <c r="C187" s="2"/>
      <c r="D187" s="2"/>
      <c r="E187" s="2"/>
    </row>
    <row r="188" spans="2:5" x14ac:dyDescent="0.25">
      <c r="B188" s="79"/>
      <c r="C188" s="2"/>
      <c r="D188" s="2"/>
      <c r="E188" s="2"/>
    </row>
    <row r="189" spans="2:5" x14ac:dyDescent="0.25">
      <c r="B189" s="79"/>
      <c r="C189" s="2"/>
      <c r="D189" s="2"/>
      <c r="E189" s="2"/>
    </row>
    <row r="190" spans="2:5" x14ac:dyDescent="0.25">
      <c r="B190" s="79"/>
      <c r="C190" s="2"/>
      <c r="D190" s="2"/>
      <c r="E190" s="2"/>
    </row>
    <row r="191" spans="2:5" x14ac:dyDescent="0.25">
      <c r="B191" s="79"/>
      <c r="C191" s="2"/>
      <c r="D191" s="2"/>
      <c r="E191" s="2"/>
    </row>
    <row r="192" spans="2:5" x14ac:dyDescent="0.25">
      <c r="B192" s="79"/>
      <c r="C192" s="2"/>
      <c r="D192" s="2"/>
      <c r="E192" s="2"/>
    </row>
    <row r="193" spans="2:5" x14ac:dyDescent="0.25">
      <c r="B193" s="79"/>
      <c r="C193" s="2"/>
      <c r="D193" s="2"/>
      <c r="E193" s="2"/>
    </row>
    <row r="194" spans="2:5" x14ac:dyDescent="0.25">
      <c r="B194" s="79"/>
      <c r="C194" s="2"/>
      <c r="D194" s="2"/>
      <c r="E194" s="2"/>
    </row>
    <row r="195" spans="2:5" x14ac:dyDescent="0.25">
      <c r="B195" s="79"/>
      <c r="C195" s="2"/>
      <c r="D195" s="2"/>
      <c r="E195" s="2"/>
    </row>
    <row r="196" spans="2:5" x14ac:dyDescent="0.25">
      <c r="B196" s="79"/>
      <c r="C196" s="2"/>
      <c r="D196" s="2"/>
      <c r="E196" s="2"/>
    </row>
    <row r="197" spans="2:5" x14ac:dyDescent="0.25">
      <c r="B197" s="79"/>
      <c r="C197" s="2"/>
      <c r="D197" s="2"/>
      <c r="E197" s="2"/>
    </row>
    <row r="198" spans="2:5" x14ac:dyDescent="0.25">
      <c r="B198" s="79"/>
      <c r="C198" s="2"/>
      <c r="D198" s="2"/>
      <c r="E198" s="2"/>
    </row>
    <row r="199" spans="2:5" x14ac:dyDescent="0.25">
      <c r="B199" s="79"/>
      <c r="C199" s="2"/>
      <c r="D199" s="2"/>
      <c r="E199" s="2"/>
    </row>
    <row r="200" spans="2:5" x14ac:dyDescent="0.25">
      <c r="B200" s="79"/>
      <c r="C200" s="2"/>
      <c r="D200" s="2"/>
      <c r="E200" s="2"/>
    </row>
    <row r="201" spans="2:5" x14ac:dyDescent="0.25">
      <c r="B201" s="79"/>
      <c r="C201" s="2"/>
      <c r="D201" s="2"/>
      <c r="E201" s="2"/>
    </row>
    <row r="202" spans="2:5" x14ac:dyDescent="0.25">
      <c r="B202" s="79"/>
      <c r="C202" s="2"/>
      <c r="D202" s="2"/>
      <c r="E202" s="2"/>
    </row>
    <row r="203" spans="2:5" x14ac:dyDescent="0.25">
      <c r="B203" s="79"/>
      <c r="C203" s="2"/>
      <c r="D203" s="2"/>
      <c r="E203" s="2"/>
    </row>
    <row r="204" spans="2:5" x14ac:dyDescent="0.25">
      <c r="B204" s="79"/>
      <c r="C204" s="2"/>
      <c r="D204" s="2"/>
      <c r="E204" s="2"/>
    </row>
    <row r="205" spans="2:5" x14ac:dyDescent="0.25">
      <c r="B205" s="79"/>
      <c r="C205" s="2"/>
      <c r="D205" s="2"/>
      <c r="E205" s="2"/>
    </row>
  </sheetData>
  <dataConsolidate/>
  <mergeCells count="33">
    <mergeCell ref="Q15:U15"/>
    <mergeCell ref="V15:Z15"/>
    <mergeCell ref="AA15:AE15"/>
    <mergeCell ref="AF15:AJ15"/>
    <mergeCell ref="M11:P11"/>
    <mergeCell ref="S11:U11"/>
    <mergeCell ref="M12:P12"/>
    <mergeCell ref="S12:U12"/>
    <mergeCell ref="B15:F15"/>
    <mergeCell ref="G15:K15"/>
    <mergeCell ref="L15:P15"/>
    <mergeCell ref="A13:K13"/>
    <mergeCell ref="A12:K12"/>
    <mergeCell ref="A11:K11"/>
    <mergeCell ref="M8:P8"/>
    <mergeCell ref="S8:U8"/>
    <mergeCell ref="M9:P9"/>
    <mergeCell ref="S9:U9"/>
    <mergeCell ref="M10:P10"/>
    <mergeCell ref="S10:U10"/>
    <mergeCell ref="D4:F6"/>
    <mergeCell ref="M5:P5"/>
    <mergeCell ref="S5:U5"/>
    <mergeCell ref="M6:P6"/>
    <mergeCell ref="S6:U6"/>
    <mergeCell ref="M7:P7"/>
    <mergeCell ref="S7:U7"/>
    <mergeCell ref="A1:B1"/>
    <mergeCell ref="M2:U2"/>
    <mergeCell ref="M3:P3"/>
    <mergeCell ref="S3:U3"/>
    <mergeCell ref="M4:P4"/>
    <mergeCell ref="S4:U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O75"/>
  <sheetViews>
    <sheetView tabSelected="1" zoomScale="80" zoomScaleNormal="80" workbookViewId="0">
      <selection activeCell="J68" sqref="J68"/>
    </sheetView>
  </sheetViews>
  <sheetFormatPr defaultColWidth="6.7109375" defaultRowHeight="14.25" x14ac:dyDescent="0.2"/>
  <cols>
    <col min="1" max="1" width="2.140625" style="4" customWidth="1"/>
    <col min="2" max="2" width="39.140625" style="4" bestFit="1" customWidth="1"/>
    <col min="3" max="3" width="16.7109375" style="4" bestFit="1" customWidth="1"/>
    <col min="4" max="4" width="9.85546875" style="4" bestFit="1" customWidth="1"/>
    <col min="5" max="5" width="42" style="4" bestFit="1" customWidth="1"/>
    <col min="6" max="6" width="8.5703125" style="309" customWidth="1"/>
    <col min="7" max="7" width="6.7109375" style="309" customWidth="1"/>
    <col min="8" max="8" width="12" style="309" bestFit="1" customWidth="1"/>
    <col min="9" max="11" width="12" style="309" customWidth="1"/>
    <col min="12" max="15" width="6.7109375" style="309" customWidth="1"/>
    <col min="16" max="16384" width="6.7109375" style="4"/>
  </cols>
  <sheetData>
    <row r="1" spans="2:15" ht="15" thickBot="1" x14ac:dyDescent="0.25">
      <c r="D1" s="5"/>
      <c r="E1" s="5"/>
      <c r="G1" s="4"/>
      <c r="H1" s="4"/>
      <c r="I1" s="4"/>
      <c r="J1" s="4"/>
      <c r="K1" s="4"/>
      <c r="L1" s="4"/>
      <c r="M1" s="4"/>
      <c r="N1" s="4"/>
      <c r="O1" s="4"/>
    </row>
    <row r="2" spans="2:15" ht="16.5" thickBot="1" x14ac:dyDescent="0.3">
      <c r="B2" s="334" t="s">
        <v>121</v>
      </c>
      <c r="C2" s="335"/>
      <c r="D2" s="335"/>
      <c r="E2" s="336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5" x14ac:dyDescent="0.25">
      <c r="B3" s="6" t="s">
        <v>8</v>
      </c>
      <c r="C3" s="51">
        <f>'Mini-Kayak'!Q3</f>
        <v>2.3439999999999999</v>
      </c>
      <c r="D3" s="7" t="s">
        <v>9</v>
      </c>
      <c r="E3" s="8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.75" thickBot="1" x14ac:dyDescent="0.3">
      <c r="B4" s="6" t="s">
        <v>10</v>
      </c>
      <c r="C4" s="51">
        <f>'Mini-Kayak'!Q4</f>
        <v>0.41665859338973005</v>
      </c>
      <c r="D4" s="7" t="s">
        <v>9</v>
      </c>
      <c r="E4" s="8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5" x14ac:dyDescent="0.25">
      <c r="B5" s="9" t="s">
        <v>11</v>
      </c>
      <c r="C5" s="52">
        <f>'Mini-Kayak'!Q5</f>
        <v>2.1970000000000001</v>
      </c>
      <c r="D5" s="10" t="s">
        <v>9</v>
      </c>
      <c r="E5" s="11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x14ac:dyDescent="0.25">
      <c r="B6" s="6" t="s">
        <v>12</v>
      </c>
      <c r="C6" s="51">
        <f>'Mini-Kayak'!Q6</f>
        <v>0.26413178688098959</v>
      </c>
      <c r="D6" s="7" t="s">
        <v>9</v>
      </c>
      <c r="E6" s="8" t="s">
        <v>13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s="309" customFormat="1" ht="15" x14ac:dyDescent="0.25">
      <c r="B7" s="6" t="s">
        <v>14</v>
      </c>
      <c r="C7" s="51">
        <f>'Mini-Kayak'!Q7</f>
        <v>6.9753112732655692E-2</v>
      </c>
      <c r="D7" s="7" t="s">
        <v>9</v>
      </c>
      <c r="E7" s="8"/>
      <c r="F7" s="4"/>
    </row>
    <row r="8" spans="2:15" s="309" customFormat="1" ht="15" x14ac:dyDescent="0.25">
      <c r="B8" s="6" t="s">
        <v>120</v>
      </c>
      <c r="C8" s="51">
        <f>'Mini-Kayak'!Q8</f>
        <v>6.9753112732655692E-2</v>
      </c>
      <c r="D8" s="7" t="s">
        <v>9</v>
      </c>
      <c r="E8" s="8"/>
      <c r="F8" s="4"/>
    </row>
    <row r="9" spans="2:15" s="309" customFormat="1" ht="15" x14ac:dyDescent="0.25">
      <c r="B9" s="6" t="s">
        <v>119</v>
      </c>
      <c r="C9" s="105">
        <f>'Mini-Kayak'!Q9</f>
        <v>7.4808861795236794</v>
      </c>
      <c r="D9" s="7" t="s">
        <v>118</v>
      </c>
      <c r="E9" s="8"/>
      <c r="F9" s="4"/>
    </row>
    <row r="10" spans="2:15" s="309" customFormat="1" ht="15" x14ac:dyDescent="0.25">
      <c r="B10" s="6" t="s">
        <v>15</v>
      </c>
      <c r="C10" s="51">
        <f>'Mini-Kayak'!Q10</f>
        <v>0.14229634997461765</v>
      </c>
      <c r="D10" s="7" t="s">
        <v>9</v>
      </c>
      <c r="E10" s="8"/>
      <c r="F10" s="4"/>
    </row>
    <row r="11" spans="2:15" s="309" customFormat="1" ht="15" x14ac:dyDescent="0.25">
      <c r="B11" s="6" t="s">
        <v>16</v>
      </c>
      <c r="C11" s="51">
        <f>'Mini-Kayak'!Q11</f>
        <v>0</v>
      </c>
      <c r="D11" s="7" t="s">
        <v>9</v>
      </c>
      <c r="E11" s="8"/>
      <c r="F11" s="4"/>
    </row>
    <row r="12" spans="2:15" s="309" customFormat="1" ht="15.75" thickBot="1" x14ac:dyDescent="0.3">
      <c r="B12" s="12" t="s">
        <v>17</v>
      </c>
      <c r="C12" s="53">
        <f>'Mini-Kayak'!Q12</f>
        <v>0.11253502187535119</v>
      </c>
      <c r="D12" s="13" t="s">
        <v>9</v>
      </c>
      <c r="E12" s="14"/>
      <c r="F12" s="4"/>
    </row>
    <row r="13" spans="2:15" s="309" customFormat="1" ht="15.75" thickBot="1" x14ac:dyDescent="0.3">
      <c r="B13" s="15"/>
      <c r="C13" s="16"/>
      <c r="D13" s="17"/>
      <c r="E13" s="17"/>
      <c r="F13" s="4"/>
    </row>
    <row r="14" spans="2:15" s="309" customFormat="1" ht="16.5" thickBot="1" x14ac:dyDescent="0.3">
      <c r="B14" s="334" t="s">
        <v>174</v>
      </c>
      <c r="C14" s="335"/>
      <c r="D14" s="335"/>
      <c r="E14" s="336"/>
      <c r="F14" s="4"/>
    </row>
    <row r="15" spans="2:15" s="309" customFormat="1" ht="15" x14ac:dyDescent="0.25">
      <c r="B15" s="6" t="s">
        <v>19</v>
      </c>
      <c r="C15" s="106">
        <f>C6*C7</f>
        <v>1.8424014306587456E-2</v>
      </c>
      <c r="D15" s="7" t="s">
        <v>20</v>
      </c>
      <c r="E15" s="8"/>
      <c r="F15" s="4"/>
    </row>
    <row r="16" spans="2:15" s="309" customFormat="1" ht="15" x14ac:dyDescent="0.25">
      <c r="B16" s="6" t="s">
        <v>123</v>
      </c>
      <c r="C16" s="106">
        <f>C6*C5*2/3</f>
        <v>0.38686502385168947</v>
      </c>
      <c r="D16" s="7" t="s">
        <v>20</v>
      </c>
      <c r="E16" s="8"/>
      <c r="F16" s="4"/>
    </row>
    <row r="17" spans="2:6" s="309" customFormat="1" ht="15" x14ac:dyDescent="0.25">
      <c r="B17" s="6" t="s">
        <v>21</v>
      </c>
      <c r="C17" s="106">
        <f>C5*C6*(C7-C8/3)*2/3</f>
        <v>1.7990026414032283E-2</v>
      </c>
      <c r="D17" s="7" t="s">
        <v>22</v>
      </c>
      <c r="E17" s="8"/>
      <c r="F17" s="4"/>
    </row>
    <row r="18" spans="2:6" s="309" customFormat="1" ht="15" x14ac:dyDescent="0.25">
      <c r="B18" s="6" t="s">
        <v>23</v>
      </c>
      <c r="C18" s="106">
        <f>C17*1025</f>
        <v>18.439777074383091</v>
      </c>
      <c r="D18" s="7" t="s">
        <v>24</v>
      </c>
      <c r="E18" s="8"/>
      <c r="F18" s="4"/>
    </row>
    <row r="19" spans="2:6" s="309" customFormat="1" ht="15" x14ac:dyDescent="0.25">
      <c r="B19" s="6" t="s">
        <v>25</v>
      </c>
      <c r="C19" s="106">
        <f>C17/(C5*C6*C7)</f>
        <v>0.44444444444444442</v>
      </c>
      <c r="D19" s="7"/>
      <c r="E19" s="8"/>
      <c r="F19" s="4"/>
    </row>
    <row r="20" spans="2:6" s="309" customFormat="1" ht="15" x14ac:dyDescent="0.25">
      <c r="B20" s="6" t="s">
        <v>26</v>
      </c>
      <c r="C20" s="106">
        <f>C18/(C3/3.048)^3</f>
        <v>40.54410634720746</v>
      </c>
      <c r="D20" s="7"/>
      <c r="E20" s="8"/>
      <c r="F20" s="4"/>
    </row>
    <row r="21" spans="2:6" s="309" customFormat="1" ht="15" x14ac:dyDescent="0.25">
      <c r="B21" s="6" t="s">
        <v>27</v>
      </c>
      <c r="C21" s="106">
        <f>1.34*(C5*3.28)^0.5</f>
        <v>3.597135095600386</v>
      </c>
      <c r="D21" s="7" t="s">
        <v>28</v>
      </c>
      <c r="E21" s="8"/>
      <c r="F21" s="4"/>
    </row>
    <row r="22" spans="2:6" s="309" customFormat="1" ht="15" x14ac:dyDescent="0.25">
      <c r="B22" s="6" t="s">
        <v>29</v>
      </c>
      <c r="C22" s="107">
        <v>3.5</v>
      </c>
      <c r="D22" s="7" t="s">
        <v>30</v>
      </c>
      <c r="E22" s="8"/>
      <c r="F22" s="4"/>
    </row>
    <row r="23" spans="2:6" s="309" customFormat="1" ht="15.75" thickBot="1" x14ac:dyDescent="0.3">
      <c r="B23" s="12" t="s">
        <v>31</v>
      </c>
      <c r="C23" s="108">
        <f>C22*C18*9.81/1000/C16</f>
        <v>1.6365649692117508</v>
      </c>
      <c r="D23" s="13" t="s">
        <v>34</v>
      </c>
      <c r="E23" s="109"/>
      <c r="F23" s="4"/>
    </row>
    <row r="24" spans="2:6" s="309" customFormat="1" ht="15" thickBot="1" x14ac:dyDescent="0.25">
      <c r="B24" s="4"/>
      <c r="C24" s="4"/>
      <c r="D24" s="4"/>
      <c r="E24" s="4"/>
      <c r="F24" s="4"/>
    </row>
    <row r="25" spans="2:6" s="309" customFormat="1" ht="16.5" thickBot="1" x14ac:dyDescent="0.3">
      <c r="B25" s="334" t="s">
        <v>32</v>
      </c>
      <c r="C25" s="335"/>
      <c r="D25" s="335"/>
      <c r="E25" s="336"/>
    </row>
    <row r="26" spans="2:6" s="309" customFormat="1" x14ac:dyDescent="0.2">
      <c r="B26" s="18" t="s">
        <v>33</v>
      </c>
      <c r="C26" s="19">
        <f>C23</f>
        <v>1.6365649692117508</v>
      </c>
      <c r="D26" s="7" t="s">
        <v>34</v>
      </c>
      <c r="E26" s="20"/>
    </row>
    <row r="27" spans="2:6" s="309" customFormat="1" x14ac:dyDescent="0.2">
      <c r="B27" s="18" t="s">
        <v>35</v>
      </c>
      <c r="C27" s="59">
        <f>C6*1000</f>
        <v>264.13178688098958</v>
      </c>
      <c r="D27" s="7" t="s">
        <v>6</v>
      </c>
      <c r="E27" s="20" t="s">
        <v>36</v>
      </c>
    </row>
    <row r="28" spans="2:6" s="309" customFormat="1" x14ac:dyDescent="0.2">
      <c r="B28" s="21" t="s">
        <v>37</v>
      </c>
      <c r="C28" s="22">
        <v>14000</v>
      </c>
      <c r="D28" s="7" t="s">
        <v>34</v>
      </c>
      <c r="E28" s="8" t="s">
        <v>124</v>
      </c>
    </row>
    <row r="29" spans="2:6" s="309" customFormat="1" x14ac:dyDescent="0.2">
      <c r="B29" s="18" t="s">
        <v>38</v>
      </c>
      <c r="C29" s="19">
        <f>(C26*C27*C27/C28/2)^0.5</f>
        <v>2.0193345650087982</v>
      </c>
      <c r="D29" s="7" t="s">
        <v>6</v>
      </c>
      <c r="E29" s="20" t="s">
        <v>39</v>
      </c>
    </row>
    <row r="30" spans="2:6" s="309" customFormat="1" x14ac:dyDescent="0.2">
      <c r="B30" s="18" t="s">
        <v>40</v>
      </c>
      <c r="C30" s="110">
        <v>4</v>
      </c>
      <c r="D30" s="7" t="s">
        <v>6</v>
      </c>
      <c r="E30" s="20"/>
    </row>
    <row r="31" spans="2:6" s="309" customFormat="1" x14ac:dyDescent="0.2">
      <c r="B31" s="18" t="s">
        <v>41</v>
      </c>
      <c r="C31" s="22">
        <f>10500000*80%</f>
        <v>8400000</v>
      </c>
      <c r="D31" s="7" t="s">
        <v>34</v>
      </c>
      <c r="E31" s="20" t="s">
        <v>42</v>
      </c>
    </row>
    <row r="32" spans="2:6" s="309" customFormat="1" x14ac:dyDescent="0.2">
      <c r="B32" s="18" t="s">
        <v>43</v>
      </c>
      <c r="C32" s="23">
        <f>1000*C30^3/12</f>
        <v>5333.333333333333</v>
      </c>
      <c r="D32" s="7" t="s">
        <v>44</v>
      </c>
      <c r="E32" s="20"/>
    </row>
    <row r="33" spans="2:5" s="309" customFormat="1" x14ac:dyDescent="0.2">
      <c r="B33" s="18" t="s">
        <v>45</v>
      </c>
      <c r="C33" s="19">
        <f>C26*C27^4/384/C31/C32*1000</f>
        <v>0.46302739859546183</v>
      </c>
      <c r="D33" s="7" t="s">
        <v>6</v>
      </c>
      <c r="E33" s="20" t="s">
        <v>46</v>
      </c>
    </row>
    <row r="34" spans="2:5" s="309" customFormat="1" x14ac:dyDescent="0.2">
      <c r="B34" s="18" t="s">
        <v>47</v>
      </c>
      <c r="C34" s="19">
        <f>C27/C33</f>
        <v>570.445264539856</v>
      </c>
      <c r="D34" s="7"/>
      <c r="E34" s="20"/>
    </row>
    <row r="35" spans="2:5" s="309" customFormat="1" ht="15" thickBot="1" x14ac:dyDescent="0.25">
      <c r="B35" s="24" t="s">
        <v>48</v>
      </c>
      <c r="C35" s="111">
        <f>C28*C30*C30/1000000</f>
        <v>0.224</v>
      </c>
      <c r="D35" s="25" t="s">
        <v>49</v>
      </c>
      <c r="E35" s="26" t="s">
        <v>50</v>
      </c>
    </row>
    <row r="36" spans="2:5" s="309" customFormat="1" x14ac:dyDescent="0.2">
      <c r="B36" s="27"/>
      <c r="C36" s="28"/>
      <c r="D36" s="29"/>
      <c r="E36" s="5"/>
    </row>
    <row r="37" spans="2:5" s="309" customFormat="1" ht="15" thickBot="1" x14ac:dyDescent="0.25">
      <c r="B37" s="4"/>
      <c r="C37" s="4"/>
      <c r="D37" s="4"/>
      <c r="E37" s="4"/>
    </row>
    <row r="38" spans="2:5" s="309" customFormat="1" ht="16.5" thickBot="1" x14ac:dyDescent="0.3">
      <c r="B38" s="334" t="s">
        <v>125</v>
      </c>
      <c r="C38" s="335"/>
      <c r="D38" s="335"/>
      <c r="E38" s="336"/>
    </row>
    <row r="39" spans="2:5" s="309" customFormat="1" ht="15" x14ac:dyDescent="0.25">
      <c r="B39" s="63" t="s">
        <v>98</v>
      </c>
      <c r="C39" s="64"/>
      <c r="D39" s="65"/>
      <c r="E39" s="66"/>
    </row>
    <row r="40" spans="2:5" s="309" customFormat="1" x14ac:dyDescent="0.2">
      <c r="B40" s="67" t="s">
        <v>99</v>
      </c>
      <c r="C40" s="68">
        <f>36*C42+C43</f>
        <v>224</v>
      </c>
      <c r="D40" s="69" t="s">
        <v>6</v>
      </c>
      <c r="E40" s="30" t="s">
        <v>100</v>
      </c>
    </row>
    <row r="41" spans="2:5" s="309" customFormat="1" x14ac:dyDescent="0.2">
      <c r="B41" s="67" t="s">
        <v>101</v>
      </c>
      <c r="C41" s="70">
        <v>200</v>
      </c>
      <c r="D41" s="69" t="s">
        <v>6</v>
      </c>
      <c r="E41" s="71"/>
    </row>
    <row r="42" spans="2:5" s="309" customFormat="1" x14ac:dyDescent="0.2">
      <c r="B42" s="67" t="s">
        <v>102</v>
      </c>
      <c r="C42" s="68">
        <f>C30</f>
        <v>4</v>
      </c>
      <c r="D42" s="69" t="s">
        <v>6</v>
      </c>
      <c r="E42" s="30"/>
    </row>
    <row r="43" spans="2:5" s="309" customFormat="1" x14ac:dyDescent="0.2">
      <c r="B43" s="67" t="s">
        <v>104</v>
      </c>
      <c r="C43" s="70">
        <v>80</v>
      </c>
      <c r="D43" s="69" t="s">
        <v>6</v>
      </c>
      <c r="E43" s="30"/>
    </row>
    <row r="44" spans="2:5" s="309" customFormat="1" x14ac:dyDescent="0.2">
      <c r="B44" s="67" t="s">
        <v>103</v>
      </c>
      <c r="C44" s="70">
        <v>4</v>
      </c>
      <c r="D44" s="69" t="s">
        <v>6</v>
      </c>
      <c r="E44" s="30"/>
    </row>
    <row r="45" spans="2:5" s="309" customFormat="1" x14ac:dyDescent="0.2">
      <c r="B45" s="67" t="s">
        <v>105</v>
      </c>
      <c r="C45" s="68">
        <f>C40*C42+C44*C43</f>
        <v>1216</v>
      </c>
      <c r="D45" s="69" t="s">
        <v>106</v>
      </c>
      <c r="E45" s="30"/>
    </row>
    <row r="46" spans="2:5" s="309" customFormat="1" x14ac:dyDescent="0.2">
      <c r="B46" s="67" t="s">
        <v>107</v>
      </c>
      <c r="C46" s="72">
        <f>(C40*C42*C42/2+C44*C43*(C42+C44/2))/(C40*C42+C44*C43)</f>
        <v>3.0526315789473686</v>
      </c>
      <c r="D46" s="69" t="s">
        <v>6</v>
      </c>
      <c r="E46" s="30" t="s">
        <v>108</v>
      </c>
    </row>
    <row r="47" spans="2:5" s="309" customFormat="1" x14ac:dyDescent="0.2">
      <c r="B47" s="67" t="s">
        <v>109</v>
      </c>
      <c r="C47" s="72">
        <f>(C40*C42*0/2+C44*C43*0/2)/(C40*C42+C44*C43)</f>
        <v>0</v>
      </c>
      <c r="D47" s="69" t="s">
        <v>6</v>
      </c>
      <c r="E47" s="30" t="s">
        <v>110</v>
      </c>
    </row>
    <row r="48" spans="2:5" s="309" customFormat="1" x14ac:dyDescent="0.2">
      <c r="B48" s="67" t="s">
        <v>111</v>
      </c>
      <c r="C48" s="73">
        <f>C41*C42^3/12+C41*C42*(C46-C42/2)^2+C43*C44^3/12+C43*C44*(C46-C42-C44/2)^2</f>
        <v>5159.5937211449673</v>
      </c>
      <c r="D48" s="69" t="s">
        <v>44</v>
      </c>
      <c r="E48" s="30"/>
    </row>
    <row r="49" spans="2:15" s="309" customFormat="1" ht="15" thickBot="1" x14ac:dyDescent="0.25">
      <c r="B49" s="74" t="s">
        <v>112</v>
      </c>
      <c r="C49" s="75">
        <f>C40*C40*C40*C42/12+C43*C43*C43*C44/12</f>
        <v>3917141.333333333</v>
      </c>
      <c r="D49" s="76" t="s">
        <v>44</v>
      </c>
      <c r="E49" s="77"/>
    </row>
    <row r="50" spans="2:15" x14ac:dyDescent="0.2">
      <c r="B50" s="67" t="s">
        <v>126</v>
      </c>
      <c r="C50" s="112">
        <v>1</v>
      </c>
      <c r="D50" s="69" t="s">
        <v>49</v>
      </c>
      <c r="E50" s="30" t="s">
        <v>127</v>
      </c>
    </row>
    <row r="51" spans="2:15" x14ac:dyDescent="0.2">
      <c r="B51" s="67" t="s">
        <v>128</v>
      </c>
      <c r="C51" s="68">
        <f>C27</f>
        <v>264.13178688098958</v>
      </c>
      <c r="D51" s="69" t="s">
        <v>6</v>
      </c>
      <c r="E51" s="30"/>
    </row>
    <row r="52" spans="2:15" x14ac:dyDescent="0.2">
      <c r="B52" s="67" t="s">
        <v>129</v>
      </c>
      <c r="C52" s="68">
        <f>C28</f>
        <v>14000</v>
      </c>
      <c r="D52" s="69" t="s">
        <v>34</v>
      </c>
      <c r="E52" s="30" t="s">
        <v>124</v>
      </c>
    </row>
    <row r="53" spans="2:15" x14ac:dyDescent="0.2">
      <c r="B53" s="67" t="s">
        <v>130</v>
      </c>
      <c r="C53" s="68">
        <f>C50*C51/8</f>
        <v>33.016473360123697</v>
      </c>
      <c r="D53" s="69" t="s">
        <v>51</v>
      </c>
      <c r="E53" s="30"/>
    </row>
    <row r="54" spans="2:15" x14ac:dyDescent="0.2">
      <c r="B54" s="67" t="s">
        <v>113</v>
      </c>
      <c r="C54" s="68">
        <f>C48/C46</f>
        <v>1690.2117362371444</v>
      </c>
      <c r="D54" s="69" t="s">
        <v>52</v>
      </c>
      <c r="E54" s="30"/>
      <c r="G54" s="4"/>
      <c r="H54" s="4"/>
      <c r="I54" s="4"/>
      <c r="J54" s="4"/>
      <c r="K54" s="4"/>
      <c r="L54" s="4"/>
      <c r="M54" s="4"/>
      <c r="N54" s="4"/>
      <c r="O54" s="4"/>
    </row>
    <row r="55" spans="2:15" x14ac:dyDescent="0.2">
      <c r="B55" s="67" t="s">
        <v>131</v>
      </c>
      <c r="C55" s="68">
        <f>C53/C54*1000000</f>
        <v>19533.927408187952</v>
      </c>
      <c r="D55" s="69" t="s">
        <v>49</v>
      </c>
      <c r="E55" s="30"/>
      <c r="G55" s="4"/>
      <c r="H55" s="4"/>
      <c r="I55" s="4"/>
      <c r="J55" s="4"/>
      <c r="K55" s="4"/>
      <c r="L55" s="4"/>
      <c r="M55" s="4"/>
      <c r="N55" s="4"/>
      <c r="O55" s="4"/>
    </row>
    <row r="56" spans="2:15" x14ac:dyDescent="0.2">
      <c r="B56" s="67" t="s">
        <v>132</v>
      </c>
      <c r="C56" s="73">
        <f>C55/2</f>
        <v>9766.963704093976</v>
      </c>
      <c r="D56" s="69" t="s">
        <v>49</v>
      </c>
      <c r="E56" s="30"/>
      <c r="G56" s="4"/>
      <c r="H56" s="4"/>
      <c r="I56" s="4"/>
      <c r="J56" s="4"/>
      <c r="K56" s="4"/>
      <c r="L56" s="4"/>
      <c r="M56" s="4"/>
      <c r="N56" s="4"/>
      <c r="O56" s="4"/>
    </row>
    <row r="57" spans="2:15" ht="15" thickBot="1" x14ac:dyDescent="0.25">
      <c r="B57" s="74" t="s">
        <v>53</v>
      </c>
      <c r="C57" s="113">
        <f>C52/C56</f>
        <v>1.43340350431851</v>
      </c>
      <c r="D57" s="76"/>
      <c r="E57" s="77"/>
      <c r="G57" s="4"/>
      <c r="H57" s="4"/>
      <c r="I57" s="4"/>
      <c r="J57" s="4"/>
      <c r="K57" s="4"/>
      <c r="L57" s="4"/>
      <c r="M57" s="4"/>
      <c r="N57" s="4"/>
      <c r="O57" s="4"/>
    </row>
    <row r="58" spans="2:15" x14ac:dyDescent="0.2">
      <c r="B58" s="337" t="s">
        <v>133</v>
      </c>
      <c r="C58" s="337"/>
      <c r="D58" s="337"/>
      <c r="E58" s="337"/>
      <c r="G58" s="4"/>
      <c r="H58" s="4"/>
      <c r="I58" s="4"/>
      <c r="J58" s="4"/>
      <c r="K58" s="4"/>
      <c r="L58" s="4"/>
      <c r="M58" s="4"/>
      <c r="N58" s="4"/>
      <c r="O58" s="4"/>
    </row>
    <row r="59" spans="2:15" ht="15" thickBot="1" x14ac:dyDescent="0.25">
      <c r="G59" s="4"/>
      <c r="H59" s="4"/>
      <c r="I59" s="4"/>
      <c r="J59" s="4"/>
      <c r="K59" s="4"/>
      <c r="L59" s="4"/>
      <c r="M59" s="4"/>
      <c r="N59" s="4"/>
      <c r="O59" s="4"/>
    </row>
    <row r="60" spans="2:15" ht="16.5" thickBot="1" x14ac:dyDescent="0.3">
      <c r="B60" s="334" t="s">
        <v>54</v>
      </c>
      <c r="C60" s="335"/>
      <c r="D60" s="335"/>
      <c r="E60" s="336"/>
      <c r="G60" s="4"/>
      <c r="H60" s="4"/>
      <c r="I60" s="4"/>
      <c r="J60" s="4"/>
      <c r="K60" s="4"/>
      <c r="L60" s="4"/>
      <c r="M60" s="4"/>
      <c r="N60" s="4"/>
      <c r="O60" s="4"/>
    </row>
    <row r="61" spans="2:15" x14ac:dyDescent="0.2">
      <c r="B61" s="18" t="s">
        <v>33</v>
      </c>
      <c r="C61" s="19">
        <f>C23</f>
        <v>1.6365649692117508</v>
      </c>
      <c r="D61" s="7" t="s">
        <v>34</v>
      </c>
      <c r="E61" s="20"/>
      <c r="G61" s="4"/>
      <c r="H61" s="4"/>
      <c r="I61" s="4"/>
      <c r="J61" s="4"/>
      <c r="K61" s="4"/>
      <c r="L61" s="4"/>
      <c r="M61" s="4"/>
      <c r="N61" s="4"/>
      <c r="O61" s="4"/>
    </row>
    <row r="62" spans="2:15" x14ac:dyDescent="0.2">
      <c r="B62" s="18" t="s">
        <v>35</v>
      </c>
      <c r="C62" s="23">
        <f>(C10+C7)*1000</f>
        <v>212.04946270727334</v>
      </c>
      <c r="D62" s="7" t="s">
        <v>6</v>
      </c>
      <c r="E62" s="20"/>
      <c r="G62" s="4"/>
      <c r="H62" s="4"/>
      <c r="I62" s="4"/>
      <c r="J62" s="4"/>
      <c r="K62" s="4"/>
      <c r="L62" s="4"/>
      <c r="M62" s="4"/>
      <c r="N62" s="4"/>
      <c r="O62" s="4"/>
    </row>
    <row r="63" spans="2:15" x14ac:dyDescent="0.2">
      <c r="B63" s="21" t="s">
        <v>37</v>
      </c>
      <c r="C63" s="23">
        <f>C28</f>
        <v>14000</v>
      </c>
      <c r="D63" s="7" t="s">
        <v>34</v>
      </c>
      <c r="E63" s="8" t="s">
        <v>124</v>
      </c>
      <c r="G63" s="4"/>
      <c r="H63" s="4"/>
      <c r="I63" s="4"/>
      <c r="J63" s="4"/>
      <c r="K63" s="4"/>
      <c r="L63" s="4"/>
      <c r="M63" s="4"/>
      <c r="N63" s="4"/>
      <c r="O63" s="4"/>
    </row>
    <row r="64" spans="2:15" x14ac:dyDescent="0.2">
      <c r="B64" s="18" t="s">
        <v>38</v>
      </c>
      <c r="C64" s="31">
        <f>(C61*C62*C62/C63/2)^0.5</f>
        <v>1.621155918387345</v>
      </c>
      <c r="D64" s="7" t="s">
        <v>6</v>
      </c>
      <c r="E64" s="20" t="s">
        <v>39</v>
      </c>
      <c r="G64" s="4"/>
      <c r="H64" s="4"/>
      <c r="I64" s="4"/>
      <c r="J64" s="4"/>
      <c r="K64" s="4"/>
      <c r="L64" s="4"/>
      <c r="M64" s="4"/>
      <c r="N64" s="4"/>
      <c r="O64" s="4"/>
    </row>
    <row r="65" spans="2:15" ht="15" thickBot="1" x14ac:dyDescent="0.25">
      <c r="B65" s="32" t="s">
        <v>40</v>
      </c>
      <c r="C65" s="33">
        <f>C44</f>
        <v>4</v>
      </c>
      <c r="D65" s="13" t="s">
        <v>6</v>
      </c>
      <c r="E65" s="34" t="s">
        <v>55</v>
      </c>
      <c r="G65" s="4"/>
      <c r="H65" s="4"/>
      <c r="I65" s="4"/>
      <c r="J65" s="4"/>
      <c r="K65" s="4"/>
      <c r="L65" s="4"/>
      <c r="M65" s="4"/>
      <c r="N65" s="4"/>
      <c r="O65" s="4"/>
    </row>
    <row r="66" spans="2:15" ht="15" thickBot="1" x14ac:dyDescent="0.25"/>
    <row r="67" spans="2:15" ht="16.5" thickBot="1" x14ac:dyDescent="0.3">
      <c r="B67" s="331" t="s">
        <v>56</v>
      </c>
      <c r="C67" s="332"/>
      <c r="D67" s="332"/>
      <c r="E67" s="333"/>
    </row>
    <row r="68" spans="2:15" x14ac:dyDescent="0.2">
      <c r="B68" s="38" t="s">
        <v>57</v>
      </c>
      <c r="C68" s="39">
        <f>C28</f>
        <v>14000</v>
      </c>
      <c r="D68" s="40" t="s">
        <v>58</v>
      </c>
      <c r="E68" s="41"/>
      <c r="H68" s="4"/>
      <c r="I68" s="4"/>
      <c r="J68" s="4"/>
      <c r="K68" s="4"/>
      <c r="L68" s="4"/>
      <c r="M68" s="4"/>
      <c r="N68" s="4"/>
      <c r="O68" s="4"/>
    </row>
    <row r="69" spans="2:15" x14ac:dyDescent="0.2">
      <c r="B69" s="42" t="s">
        <v>59</v>
      </c>
      <c r="C69" s="114">
        <f>C30</f>
        <v>4</v>
      </c>
      <c r="D69" s="44" t="s">
        <v>6</v>
      </c>
      <c r="E69" s="45"/>
      <c r="H69" s="4"/>
      <c r="I69" s="4"/>
      <c r="J69" s="4"/>
      <c r="K69" s="4"/>
      <c r="L69" s="4"/>
      <c r="M69" s="4"/>
      <c r="N69" s="4"/>
      <c r="O69" s="4"/>
    </row>
    <row r="70" spans="2:15" x14ac:dyDescent="0.2">
      <c r="B70" s="42" t="s">
        <v>60</v>
      </c>
      <c r="C70" s="46">
        <f>C68*C69^2/6</f>
        <v>37333.333333333336</v>
      </c>
      <c r="D70" s="44" t="s">
        <v>51</v>
      </c>
      <c r="E70" s="47" t="s">
        <v>61</v>
      </c>
      <c r="H70" s="4"/>
      <c r="I70" s="4"/>
      <c r="J70" s="4"/>
      <c r="K70" s="4"/>
      <c r="L70" s="4"/>
      <c r="M70" s="4"/>
      <c r="N70" s="4"/>
      <c r="O70" s="4"/>
    </row>
    <row r="71" spans="2:15" x14ac:dyDescent="0.2">
      <c r="B71" s="42" t="s">
        <v>62</v>
      </c>
      <c r="C71" s="43">
        <v>120000000</v>
      </c>
      <c r="D71" s="44" t="s">
        <v>58</v>
      </c>
      <c r="E71" s="45"/>
      <c r="H71" s="4"/>
      <c r="I71" s="4"/>
      <c r="J71" s="4"/>
      <c r="K71" s="4"/>
      <c r="L71" s="4"/>
      <c r="M71" s="4"/>
      <c r="N71" s="4"/>
      <c r="O71" s="4"/>
    </row>
    <row r="72" spans="2:15" x14ac:dyDescent="0.2">
      <c r="B72" s="42" t="s">
        <v>63</v>
      </c>
      <c r="C72" s="7">
        <f>1000*((C70*6*C69/C71+C69*C69*C69)^(1/3)-C69)/2</f>
        <v>7.7774753282522369E-2</v>
      </c>
      <c r="D72" s="44" t="s">
        <v>6</v>
      </c>
      <c r="E72" s="48" t="s">
        <v>64</v>
      </c>
      <c r="H72" s="4"/>
      <c r="I72" s="4"/>
      <c r="J72" s="4"/>
      <c r="K72" s="4"/>
      <c r="L72" s="4"/>
      <c r="M72" s="4"/>
      <c r="N72" s="4"/>
      <c r="O72" s="4"/>
    </row>
    <row r="73" spans="2:15" x14ac:dyDescent="0.2">
      <c r="B73" s="37" t="s">
        <v>65</v>
      </c>
      <c r="C73" s="19">
        <f>C72*16</f>
        <v>1.2443960525203579</v>
      </c>
      <c r="D73" s="35" t="s">
        <v>66</v>
      </c>
      <c r="E73" s="30" t="s">
        <v>67</v>
      </c>
      <c r="H73" s="4"/>
      <c r="I73" s="4"/>
      <c r="J73" s="4"/>
      <c r="K73" s="4"/>
      <c r="L73" s="4"/>
      <c r="M73" s="4"/>
      <c r="N73" s="4"/>
      <c r="O73" s="4"/>
    </row>
    <row r="74" spans="2:15" ht="15" thickBot="1" x14ac:dyDescent="0.25">
      <c r="B74" s="36" t="s">
        <v>68</v>
      </c>
      <c r="C74" s="49">
        <f>C69*3</f>
        <v>12</v>
      </c>
      <c r="D74" s="13" t="s">
        <v>6</v>
      </c>
      <c r="E74" s="50" t="s">
        <v>69</v>
      </c>
      <c r="H74" s="4"/>
      <c r="I74" s="4"/>
      <c r="J74" s="4"/>
      <c r="K74" s="4"/>
      <c r="L74" s="4"/>
      <c r="M74" s="4"/>
      <c r="N74" s="4"/>
      <c r="O74" s="4"/>
    </row>
    <row r="75" spans="2:15" x14ac:dyDescent="0.2">
      <c r="H75" s="4"/>
      <c r="I75" s="4"/>
      <c r="J75" s="4"/>
      <c r="K75" s="4"/>
      <c r="L75" s="4"/>
      <c r="M75" s="4"/>
      <c r="N75" s="4"/>
      <c r="O75" s="4"/>
    </row>
  </sheetData>
  <mergeCells count="7">
    <mergeCell ref="B67:E67"/>
    <mergeCell ref="B2:E2"/>
    <mergeCell ref="B14:E14"/>
    <mergeCell ref="B25:E25"/>
    <mergeCell ref="B38:E38"/>
    <mergeCell ref="B58:E58"/>
    <mergeCell ref="B60:E60"/>
  </mergeCells>
  <pageMargins left="0.35433070866141736" right="0.35433070866141736" top="0.35433070866141736" bottom="0.35433070866141736" header="0.35433070866141736" footer="0.35433070866141736"/>
  <pageSetup paperSize="9" scale="89" fitToHeight="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S215"/>
  <sheetViews>
    <sheetView zoomScaleNormal="100" workbookViewId="0">
      <selection activeCell="U5" sqref="U5"/>
    </sheetView>
  </sheetViews>
  <sheetFormatPr defaultColWidth="20.7109375" defaultRowHeight="16.5" x14ac:dyDescent="0.3"/>
  <cols>
    <col min="1" max="1" width="20.42578125" style="177" bestFit="1" customWidth="1"/>
    <col min="2" max="2" width="4" style="185" bestFit="1" customWidth="1"/>
    <col min="3" max="3" width="7.42578125" style="182" bestFit="1" customWidth="1"/>
    <col min="4" max="4" width="5" style="177" bestFit="1" customWidth="1"/>
    <col min="5" max="5" width="6.7109375" style="177" bestFit="1" customWidth="1"/>
    <col min="6" max="6" width="8.7109375" style="177" bestFit="1" customWidth="1"/>
    <col min="7" max="9" width="4" style="177" bestFit="1" customWidth="1"/>
    <col min="10" max="10" width="6.7109375" style="177" bestFit="1" customWidth="1"/>
    <col min="11" max="11" width="8.7109375" style="177" bestFit="1" customWidth="1"/>
    <col min="12" max="12" width="5.42578125" style="177" bestFit="1" customWidth="1"/>
    <col min="13" max="14" width="4" style="177" bestFit="1" customWidth="1"/>
    <col min="15" max="15" width="12" style="177" bestFit="1" customWidth="1"/>
    <col min="16" max="16" width="9.28515625" style="177" bestFit="1" customWidth="1"/>
    <col min="17" max="17" width="5.42578125" style="177" bestFit="1" customWidth="1"/>
    <col min="18" max="18" width="4.42578125" style="177" bestFit="1" customWidth="1"/>
    <col min="19" max="19" width="4.5703125" style="177" bestFit="1" customWidth="1"/>
    <col min="20" max="20" width="6.7109375" style="177" bestFit="1" customWidth="1"/>
    <col min="21" max="21" width="8.7109375" style="177" bestFit="1" customWidth="1"/>
    <col min="22" max="22" width="5" style="177" bestFit="1" customWidth="1"/>
    <col min="23" max="23" width="4" style="177" bestFit="1" customWidth="1"/>
    <col min="24" max="24" width="4.5703125" style="177" bestFit="1" customWidth="1"/>
    <col min="25" max="25" width="6.7109375" style="177" bestFit="1" customWidth="1"/>
    <col min="26" max="26" width="8.7109375" style="177" bestFit="1" customWidth="1"/>
    <col min="27" max="27" width="5" style="177" bestFit="1" customWidth="1"/>
    <col min="28" max="28" width="4" style="177" bestFit="1" customWidth="1"/>
    <col min="29" max="29" width="5" style="177" bestFit="1" customWidth="1"/>
    <col min="30" max="30" width="6.7109375" style="177" bestFit="1" customWidth="1"/>
    <col min="31" max="31" width="8.7109375" style="177" bestFit="1" customWidth="1"/>
    <col min="32" max="32" width="5" style="177" bestFit="1" customWidth="1"/>
    <col min="33" max="33" width="4" style="177" bestFit="1" customWidth="1"/>
    <col min="34" max="34" width="5" style="177" bestFit="1" customWidth="1"/>
    <col min="35" max="35" width="6.7109375" style="177" bestFit="1" customWidth="1"/>
    <col min="36" max="36" width="8.7109375" style="177" bestFit="1" customWidth="1"/>
    <col min="37" max="37" width="5" style="177" bestFit="1" customWidth="1"/>
    <col min="38" max="38" width="4" style="177" bestFit="1" customWidth="1"/>
    <col min="39" max="39" width="5" style="177" bestFit="1" customWidth="1"/>
    <col min="40" max="40" width="6.7109375" style="177" bestFit="1" customWidth="1"/>
    <col min="41" max="41" width="8.7109375" style="177" bestFit="1" customWidth="1"/>
    <col min="42" max="44" width="5" style="177" bestFit="1" customWidth="1"/>
    <col min="45" max="45" width="6.7109375" style="177" bestFit="1" customWidth="1"/>
    <col min="46" max="46" width="8.7109375" style="177" bestFit="1" customWidth="1"/>
    <col min="47" max="48" width="5" style="177" bestFit="1" customWidth="1"/>
    <col min="49" max="49" width="4.5703125" style="177" bestFit="1" customWidth="1"/>
    <col min="50" max="50" width="6.7109375" style="177" bestFit="1" customWidth="1"/>
    <col min="51" max="51" width="8.7109375" style="177" bestFit="1" customWidth="1"/>
    <col min="52" max="52" width="5" style="177" bestFit="1" customWidth="1"/>
    <col min="53" max="53" width="4" style="177" bestFit="1" customWidth="1"/>
    <col min="54" max="54" width="5" style="177" bestFit="1" customWidth="1"/>
    <col min="55" max="55" width="6.7109375" style="177" bestFit="1" customWidth="1"/>
    <col min="56" max="56" width="8.7109375" style="177" bestFit="1" customWidth="1"/>
    <col min="57" max="59" width="5" style="177" bestFit="1" customWidth="1"/>
    <col min="60" max="60" width="6.7109375" style="177" bestFit="1" customWidth="1"/>
    <col min="61" max="61" width="8.7109375" style="177" bestFit="1" customWidth="1"/>
    <col min="62" max="64" width="5" style="177" bestFit="1" customWidth="1"/>
    <col min="65" max="65" width="6.7109375" style="177" bestFit="1" customWidth="1"/>
    <col min="66" max="66" width="8.7109375" style="177" bestFit="1" customWidth="1"/>
    <col min="67" max="69" width="5" style="177" bestFit="1" customWidth="1"/>
    <col min="70" max="70" width="6.7109375" style="177" bestFit="1" customWidth="1"/>
    <col min="71" max="71" width="8.7109375" style="177" bestFit="1" customWidth="1"/>
    <col min="72" max="74" width="5" style="177" bestFit="1" customWidth="1"/>
    <col min="75" max="75" width="6.7109375" style="177" bestFit="1" customWidth="1"/>
    <col min="76" max="76" width="8.7109375" style="177" bestFit="1" customWidth="1"/>
    <col min="77" max="79" width="5" style="177" bestFit="1" customWidth="1"/>
    <col min="80" max="80" width="6.7109375" style="177" bestFit="1" customWidth="1"/>
    <col min="81" max="81" width="8.7109375" style="177" bestFit="1" customWidth="1"/>
    <col min="82" max="82" width="5" style="177" bestFit="1" customWidth="1"/>
    <col min="83" max="83" width="4" style="177" bestFit="1" customWidth="1"/>
    <col min="84" max="84" width="5" style="177" bestFit="1" customWidth="1"/>
    <col min="85" max="85" width="6.7109375" style="177" bestFit="1" customWidth="1"/>
    <col min="86" max="86" width="8.7109375" style="177" bestFit="1" customWidth="1"/>
    <col min="87" max="87" width="5" style="177" bestFit="1" customWidth="1"/>
    <col min="88" max="88" width="4" style="177" bestFit="1" customWidth="1"/>
    <col min="89" max="89" width="4.5703125" style="177" bestFit="1" customWidth="1"/>
    <col min="90" max="90" width="6.7109375" style="177" bestFit="1" customWidth="1"/>
    <col min="91" max="91" width="8.7109375" style="177" bestFit="1" customWidth="1"/>
    <col min="92" max="92" width="5" style="177" bestFit="1" customWidth="1"/>
    <col min="93" max="93" width="4" style="177" bestFit="1" customWidth="1"/>
    <col min="94" max="94" width="4.5703125" style="177" bestFit="1" customWidth="1"/>
    <col min="95" max="95" width="6.7109375" style="177" bestFit="1" customWidth="1"/>
    <col min="96" max="96" width="8.7109375" style="177" bestFit="1" customWidth="1"/>
    <col min="97" max="97" width="5" style="177" bestFit="1" customWidth="1"/>
    <col min="98" max="99" width="4" style="177" bestFit="1" customWidth="1"/>
    <col min="100" max="100" width="6.7109375" style="177" bestFit="1" customWidth="1"/>
    <col min="101" max="101" width="8.7109375" style="177" bestFit="1" customWidth="1"/>
    <col min="102" max="102" width="7.42578125" style="177" bestFit="1" customWidth="1"/>
    <col min="103" max="103" width="4" style="177" bestFit="1" customWidth="1"/>
    <col min="104" max="104" width="4.5703125" style="177" bestFit="1" customWidth="1"/>
    <col min="105" max="105" width="6.7109375" style="177" bestFit="1" customWidth="1"/>
    <col min="106" max="106" width="8.7109375" style="177" bestFit="1" customWidth="1"/>
    <col min="107" max="107" width="5" style="177" bestFit="1" customWidth="1"/>
    <col min="108" max="109" width="4" style="177" bestFit="1" customWidth="1"/>
    <col min="110" max="110" width="6.7109375" style="177" bestFit="1" customWidth="1"/>
    <col min="111" max="111" width="8.7109375" style="177" bestFit="1" customWidth="1"/>
    <col min="112" max="112" width="5" style="177" bestFit="1" customWidth="1"/>
    <col min="113" max="113" width="2" style="177" bestFit="1" customWidth="1"/>
    <col min="114" max="114" width="4" style="177" bestFit="1" customWidth="1"/>
    <col min="115" max="115" width="6.7109375" style="177" bestFit="1" customWidth="1"/>
    <col min="116" max="116" width="8.7109375" style="177" bestFit="1" customWidth="1"/>
    <col min="117" max="117" width="5" style="177" bestFit="1" customWidth="1"/>
    <col min="118" max="118" width="2" style="177" bestFit="1" customWidth="1"/>
    <col min="119" max="119" width="4" style="177" bestFit="1" customWidth="1"/>
    <col min="120" max="120" width="6.7109375" style="177" bestFit="1" customWidth="1"/>
    <col min="121" max="121" width="8.7109375" style="177" bestFit="1" customWidth="1"/>
    <col min="122" max="16384" width="20.7109375" style="177"/>
  </cols>
  <sheetData>
    <row r="1" spans="1:123" ht="19.5" thickBot="1" x14ac:dyDescent="0.35">
      <c r="A1" s="364" t="s">
        <v>72</v>
      </c>
      <c r="B1" s="365"/>
      <c r="C1" s="175"/>
      <c r="D1" s="176"/>
      <c r="E1" s="176"/>
      <c r="F1" s="176"/>
      <c r="G1" s="176"/>
      <c r="M1" s="183"/>
      <c r="N1" s="310"/>
      <c r="O1"/>
      <c r="P1"/>
      <c r="Q1"/>
      <c r="R1"/>
    </row>
    <row r="2" spans="1:123" ht="17.25" thickBot="1" x14ac:dyDescent="0.35">
      <c r="A2" s="366" t="s">
        <v>7</v>
      </c>
      <c r="B2" s="367">
        <v>21</v>
      </c>
      <c r="C2" s="175"/>
      <c r="D2" s="349"/>
      <c r="E2" s="349"/>
      <c r="F2" s="349"/>
      <c r="G2" s="176"/>
      <c r="H2" s="340" t="s">
        <v>73</v>
      </c>
      <c r="I2" s="341"/>
      <c r="J2" s="341"/>
      <c r="K2" s="341"/>
      <c r="L2" s="341"/>
      <c r="M2" s="342"/>
      <c r="N2" s="179"/>
      <c r="O2"/>
      <c r="P2"/>
      <c r="Q2"/>
      <c r="R2"/>
    </row>
    <row r="3" spans="1:123" x14ac:dyDescent="0.3">
      <c r="A3" s="368" t="s">
        <v>4</v>
      </c>
      <c r="B3" s="367">
        <v>24</v>
      </c>
      <c r="C3" s="175"/>
      <c r="D3" s="349"/>
      <c r="E3" s="349"/>
      <c r="F3" s="349"/>
      <c r="G3" s="176"/>
      <c r="H3" s="338" t="s">
        <v>8</v>
      </c>
      <c r="I3" s="339"/>
      <c r="J3" s="339"/>
      <c r="K3" s="339"/>
      <c r="L3" s="311">
        <f>(DM27-B27)/1000</f>
        <v>6.9931696523062756</v>
      </c>
      <c r="M3" s="312" t="s">
        <v>9</v>
      </c>
      <c r="N3" s="179"/>
      <c r="O3"/>
      <c r="P3"/>
      <c r="Q3"/>
      <c r="R3"/>
    </row>
    <row r="4" spans="1:123" ht="17.25" thickBot="1" x14ac:dyDescent="0.35">
      <c r="A4" s="369" t="s">
        <v>5</v>
      </c>
      <c r="B4" s="370">
        <v>12</v>
      </c>
      <c r="C4" s="175"/>
      <c r="D4" s="349"/>
      <c r="E4" s="349"/>
      <c r="F4" s="349"/>
      <c r="G4" s="176"/>
      <c r="H4" s="346" t="s">
        <v>10</v>
      </c>
      <c r="I4" s="347"/>
      <c r="J4" s="347"/>
      <c r="K4" s="347"/>
      <c r="L4" s="313">
        <f>BK28/500</f>
        <v>2.2736983634749994</v>
      </c>
      <c r="M4" s="314" t="s">
        <v>9</v>
      </c>
      <c r="N4" s="179"/>
      <c r="O4"/>
      <c r="P4"/>
      <c r="Q4"/>
      <c r="R4"/>
      <c r="CX4" s="178"/>
      <c r="DA4" s="178"/>
    </row>
    <row r="5" spans="1:123" x14ac:dyDescent="0.3">
      <c r="A5" s="176"/>
      <c r="B5" s="175"/>
      <c r="C5" s="175"/>
      <c r="G5" s="176"/>
      <c r="H5" s="338" t="s">
        <v>11</v>
      </c>
      <c r="I5" s="339"/>
      <c r="J5" s="339"/>
      <c r="K5" s="339"/>
      <c r="L5" s="311">
        <f>(DC30-DE30*(DC30-CX30)/(DE30-CZ30)-Q30-S30*(Q30-L30)/(S30-N30))/1000</f>
        <v>6.1784257298351486</v>
      </c>
      <c r="M5" s="312" t="s">
        <v>9</v>
      </c>
      <c r="N5" s="179"/>
      <c r="O5"/>
      <c r="P5"/>
      <c r="Q5"/>
      <c r="R5"/>
    </row>
    <row r="6" spans="1:123" x14ac:dyDescent="0.3">
      <c r="A6" s="176" t="s">
        <v>94</v>
      </c>
      <c r="B6" s="181">
        <v>544.48800000000006</v>
      </c>
      <c r="C6" s="175" t="s">
        <v>6</v>
      </c>
      <c r="G6" s="176"/>
      <c r="H6" s="338" t="s">
        <v>12</v>
      </c>
      <c r="I6" s="339"/>
      <c r="J6" s="339"/>
      <c r="K6" s="339"/>
      <c r="L6" s="311">
        <f>TREND(BK28:BK29,BL28:BL29,0)/500</f>
        <v>2.0296765485193147</v>
      </c>
      <c r="M6" s="312" t="s">
        <v>9</v>
      </c>
      <c r="N6" s="179"/>
      <c r="O6"/>
      <c r="P6"/>
      <c r="Q6"/>
      <c r="R6"/>
    </row>
    <row r="7" spans="1:123" x14ac:dyDescent="0.3">
      <c r="A7" s="176" t="s">
        <v>95</v>
      </c>
      <c r="B7" s="181">
        <f xml:space="preserve"> 0.0000182672053*B6^2 - 0.165450041*B6 + 1022.13715+$B$9</f>
        <v>987.46721495692896</v>
      </c>
      <c r="C7" s="175" t="s">
        <v>6</v>
      </c>
      <c r="D7" s="176"/>
      <c r="E7" s="176"/>
      <c r="F7" s="176"/>
      <c r="G7" s="176"/>
      <c r="H7" s="338" t="s">
        <v>141</v>
      </c>
      <c r="I7" s="339"/>
      <c r="J7" s="339"/>
      <c r="K7" s="339"/>
      <c r="L7" s="311">
        <f>B34/1000</f>
        <v>0.89724460774074244</v>
      </c>
      <c r="M7" s="312" t="s">
        <v>9</v>
      </c>
      <c r="N7" s="179"/>
      <c r="O7"/>
      <c r="P7"/>
      <c r="Q7"/>
      <c r="R7"/>
    </row>
    <row r="8" spans="1:123" x14ac:dyDescent="0.3">
      <c r="A8" s="176" t="s">
        <v>85</v>
      </c>
      <c r="B8" s="175">
        <v>3</v>
      </c>
      <c r="C8" s="175" t="s">
        <v>87</v>
      </c>
      <c r="G8" s="176"/>
      <c r="H8" s="338" t="s">
        <v>14</v>
      </c>
      <c r="I8" s="339"/>
      <c r="J8" s="339"/>
      <c r="K8" s="339"/>
      <c r="L8" s="311">
        <f>-CP32/1000</f>
        <v>0.71633227290870005</v>
      </c>
      <c r="M8" s="312" t="s">
        <v>9</v>
      </c>
      <c r="N8" s="179"/>
      <c r="O8"/>
      <c r="P8"/>
      <c r="Q8"/>
      <c r="R8"/>
    </row>
    <row r="9" spans="1:123" x14ac:dyDescent="0.3">
      <c r="A9" s="177" t="s">
        <v>86</v>
      </c>
      <c r="B9" s="182">
        <v>50</v>
      </c>
      <c r="C9" s="175" t="s">
        <v>6</v>
      </c>
      <c r="G9" s="176"/>
      <c r="H9" s="338" t="s">
        <v>15</v>
      </c>
      <c r="I9" s="339"/>
      <c r="J9" s="339"/>
      <c r="K9" s="339"/>
      <c r="L9" s="311">
        <f>BL28/1000</f>
        <v>0.66683527142499999</v>
      </c>
      <c r="M9" s="312" t="s">
        <v>9</v>
      </c>
      <c r="N9" s="179"/>
      <c r="O9"/>
      <c r="P9"/>
      <c r="Q9"/>
      <c r="R9"/>
    </row>
    <row r="10" spans="1:123" x14ac:dyDescent="0.3">
      <c r="A10" s="176" t="s">
        <v>89</v>
      </c>
      <c r="B10" s="182">
        <v>100</v>
      </c>
      <c r="C10" s="175" t="s">
        <v>6</v>
      </c>
      <c r="G10" s="176"/>
      <c r="H10" s="338" t="s">
        <v>16</v>
      </c>
      <c r="I10" s="339"/>
      <c r="J10" s="339"/>
      <c r="K10" s="339"/>
      <c r="L10" s="311">
        <f>D27/1000</f>
        <v>1.02213715</v>
      </c>
      <c r="M10" s="315" t="s">
        <v>9</v>
      </c>
      <c r="O10"/>
      <c r="P10"/>
      <c r="Q10"/>
      <c r="R10"/>
    </row>
    <row r="11" spans="1:123" ht="17.25" thickBot="1" x14ac:dyDescent="0.35">
      <c r="A11" s="176" t="s">
        <v>92</v>
      </c>
      <c r="B11" s="175">
        <v>280</v>
      </c>
      <c r="C11" s="175" t="s">
        <v>6</v>
      </c>
      <c r="H11" s="346" t="s">
        <v>17</v>
      </c>
      <c r="I11" s="347"/>
      <c r="J11" s="347"/>
      <c r="K11" s="347"/>
      <c r="L11" s="313">
        <f>DO27/1000</f>
        <v>0.75846405714748333</v>
      </c>
      <c r="M11" s="316" t="s">
        <v>9</v>
      </c>
      <c r="O11"/>
      <c r="P11"/>
      <c r="Q11"/>
      <c r="R11"/>
    </row>
    <row r="12" spans="1:123" x14ac:dyDescent="0.3">
      <c r="A12" s="176"/>
      <c r="B12" s="175"/>
      <c r="C12" s="181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/>
      <c r="P12"/>
      <c r="Q12"/>
      <c r="R12"/>
      <c r="S12" s="176"/>
      <c r="T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</row>
    <row r="13" spans="1:123" x14ac:dyDescent="0.3">
      <c r="A13" s="350" t="s">
        <v>135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</row>
    <row r="14" spans="1:123" x14ac:dyDescent="0.3">
      <c r="A14" s="351" t="s">
        <v>134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</row>
    <row r="15" spans="1:123" x14ac:dyDescent="0.3">
      <c r="A15" s="350" t="s">
        <v>137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</row>
    <row r="16" spans="1:123" x14ac:dyDescent="0.3">
      <c r="A16" s="352" t="s">
        <v>136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</row>
    <row r="17" spans="1:122" x14ac:dyDescent="0.3">
      <c r="A17" s="350" t="s">
        <v>138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</row>
    <row r="18" spans="1:122" ht="17.25" thickBot="1" x14ac:dyDescent="0.35">
      <c r="A18" s="184"/>
    </row>
    <row r="19" spans="1:122" s="187" customFormat="1" x14ac:dyDescent="0.3">
      <c r="A19" s="186" t="s">
        <v>96</v>
      </c>
      <c r="B19" s="348">
        <v>1</v>
      </c>
      <c r="C19" s="344"/>
      <c r="D19" s="344"/>
      <c r="E19" s="344"/>
      <c r="F19" s="345"/>
      <c r="G19" s="343">
        <v>2</v>
      </c>
      <c r="H19" s="344"/>
      <c r="I19" s="344"/>
      <c r="J19" s="344"/>
      <c r="K19" s="345"/>
      <c r="L19" s="343">
        <v>3</v>
      </c>
      <c r="M19" s="344"/>
      <c r="N19" s="344"/>
      <c r="O19" s="344"/>
      <c r="P19" s="345"/>
      <c r="Q19" s="343">
        <v>4</v>
      </c>
      <c r="R19" s="344"/>
      <c r="S19" s="344"/>
      <c r="T19" s="344"/>
      <c r="U19" s="345"/>
      <c r="V19" s="343">
        <v>5</v>
      </c>
      <c r="W19" s="344"/>
      <c r="X19" s="344"/>
      <c r="Y19" s="344"/>
      <c r="Z19" s="345"/>
      <c r="AA19" s="343">
        <v>6</v>
      </c>
      <c r="AB19" s="344"/>
      <c r="AC19" s="344"/>
      <c r="AD19" s="344"/>
      <c r="AE19" s="345"/>
      <c r="AF19" s="343">
        <v>7</v>
      </c>
      <c r="AG19" s="344"/>
      <c r="AH19" s="344"/>
      <c r="AI19" s="344"/>
      <c r="AJ19" s="345"/>
      <c r="AK19" s="343">
        <v>8</v>
      </c>
      <c r="AL19" s="344"/>
      <c r="AM19" s="344"/>
      <c r="AN19" s="344"/>
      <c r="AO19" s="345"/>
      <c r="AP19" s="343">
        <v>9</v>
      </c>
      <c r="AQ19" s="344"/>
      <c r="AR19" s="344"/>
      <c r="AS19" s="344"/>
      <c r="AT19" s="345"/>
      <c r="AU19" s="343">
        <v>10</v>
      </c>
      <c r="AV19" s="344"/>
      <c r="AW19" s="344"/>
      <c r="AX19" s="344"/>
      <c r="AY19" s="345"/>
      <c r="AZ19" s="343">
        <v>11</v>
      </c>
      <c r="BA19" s="344"/>
      <c r="BB19" s="344"/>
      <c r="BC19" s="344"/>
      <c r="BD19" s="345"/>
      <c r="BE19" s="343">
        <v>12</v>
      </c>
      <c r="BF19" s="344"/>
      <c r="BG19" s="344"/>
      <c r="BH19" s="344"/>
      <c r="BI19" s="345"/>
      <c r="BJ19" s="343">
        <v>13</v>
      </c>
      <c r="BK19" s="344"/>
      <c r="BL19" s="344"/>
      <c r="BM19" s="344"/>
      <c r="BN19" s="345"/>
      <c r="BO19" s="343">
        <v>14</v>
      </c>
      <c r="BP19" s="344"/>
      <c r="BQ19" s="344"/>
      <c r="BR19" s="344"/>
      <c r="BS19" s="345"/>
      <c r="BT19" s="343">
        <v>15</v>
      </c>
      <c r="BU19" s="344"/>
      <c r="BV19" s="344"/>
      <c r="BW19" s="344"/>
      <c r="BX19" s="345"/>
      <c r="BY19" s="343">
        <v>16</v>
      </c>
      <c r="BZ19" s="344"/>
      <c r="CA19" s="344"/>
      <c r="CB19" s="344"/>
      <c r="CC19" s="345"/>
      <c r="CD19" s="343">
        <v>17</v>
      </c>
      <c r="CE19" s="344"/>
      <c r="CF19" s="344"/>
      <c r="CG19" s="344"/>
      <c r="CH19" s="345"/>
      <c r="CI19" s="343">
        <v>18</v>
      </c>
      <c r="CJ19" s="344"/>
      <c r="CK19" s="344"/>
      <c r="CL19" s="344"/>
      <c r="CM19" s="345"/>
      <c r="CN19" s="343">
        <v>19</v>
      </c>
      <c r="CO19" s="344"/>
      <c r="CP19" s="344"/>
      <c r="CQ19" s="344"/>
      <c r="CR19" s="345"/>
      <c r="CS19" s="343">
        <v>20</v>
      </c>
      <c r="CT19" s="344"/>
      <c r="CU19" s="344"/>
      <c r="CV19" s="344"/>
      <c r="CW19" s="345"/>
      <c r="CX19" s="343">
        <v>21</v>
      </c>
      <c r="CY19" s="344"/>
      <c r="CZ19" s="344"/>
      <c r="DA19" s="344"/>
      <c r="DB19" s="345"/>
      <c r="DC19" s="343">
        <v>22</v>
      </c>
      <c r="DD19" s="344"/>
      <c r="DE19" s="344"/>
      <c r="DF19" s="344"/>
      <c r="DG19" s="345"/>
      <c r="DH19" s="343">
        <v>23</v>
      </c>
      <c r="DI19" s="344"/>
      <c r="DJ19" s="344"/>
      <c r="DK19" s="344"/>
      <c r="DL19" s="345"/>
      <c r="DM19" s="343">
        <v>24</v>
      </c>
      <c r="DN19" s="344"/>
      <c r="DO19" s="344"/>
      <c r="DP19" s="344"/>
      <c r="DQ19" s="345"/>
    </row>
    <row r="20" spans="1:122" s="187" customFormat="1" x14ac:dyDescent="0.3">
      <c r="A20" s="188" t="s">
        <v>0</v>
      </c>
      <c r="B20" s="189" t="s">
        <v>1</v>
      </c>
      <c r="C20" s="190" t="s">
        <v>2</v>
      </c>
      <c r="D20" s="190" t="s">
        <v>3</v>
      </c>
      <c r="E20" s="190" t="s">
        <v>70</v>
      </c>
      <c r="F20" s="191" t="s">
        <v>71</v>
      </c>
      <c r="G20" s="192" t="s">
        <v>1</v>
      </c>
      <c r="H20" s="190" t="s">
        <v>2</v>
      </c>
      <c r="I20" s="190" t="s">
        <v>3</v>
      </c>
      <c r="J20" s="190" t="s">
        <v>70</v>
      </c>
      <c r="K20" s="191" t="s">
        <v>71</v>
      </c>
      <c r="L20" s="192" t="s">
        <v>1</v>
      </c>
      <c r="M20" s="190" t="s">
        <v>2</v>
      </c>
      <c r="N20" s="190" t="s">
        <v>3</v>
      </c>
      <c r="O20" s="190" t="s">
        <v>70</v>
      </c>
      <c r="P20" s="191" t="s">
        <v>71</v>
      </c>
      <c r="Q20" s="192" t="s">
        <v>1</v>
      </c>
      <c r="R20" s="190" t="s">
        <v>2</v>
      </c>
      <c r="S20" s="190" t="s">
        <v>3</v>
      </c>
      <c r="T20" s="190" t="s">
        <v>70</v>
      </c>
      <c r="U20" s="191" t="s">
        <v>71</v>
      </c>
      <c r="V20" s="192" t="s">
        <v>1</v>
      </c>
      <c r="W20" s="190" t="s">
        <v>2</v>
      </c>
      <c r="X20" s="190" t="s">
        <v>3</v>
      </c>
      <c r="Y20" s="190" t="s">
        <v>70</v>
      </c>
      <c r="Z20" s="191" t="s">
        <v>71</v>
      </c>
      <c r="AA20" s="192" t="s">
        <v>1</v>
      </c>
      <c r="AB20" s="190" t="s">
        <v>2</v>
      </c>
      <c r="AC20" s="190" t="s">
        <v>3</v>
      </c>
      <c r="AD20" s="190" t="s">
        <v>70</v>
      </c>
      <c r="AE20" s="191" t="s">
        <v>71</v>
      </c>
      <c r="AF20" s="192" t="s">
        <v>1</v>
      </c>
      <c r="AG20" s="190" t="s">
        <v>2</v>
      </c>
      <c r="AH20" s="190" t="s">
        <v>3</v>
      </c>
      <c r="AI20" s="190" t="s">
        <v>70</v>
      </c>
      <c r="AJ20" s="191" t="s">
        <v>71</v>
      </c>
      <c r="AK20" s="192" t="s">
        <v>1</v>
      </c>
      <c r="AL20" s="190" t="s">
        <v>2</v>
      </c>
      <c r="AM20" s="190" t="s">
        <v>3</v>
      </c>
      <c r="AN20" s="190" t="s">
        <v>70</v>
      </c>
      <c r="AO20" s="191" t="s">
        <v>71</v>
      </c>
      <c r="AP20" s="192" t="s">
        <v>1</v>
      </c>
      <c r="AQ20" s="190" t="s">
        <v>2</v>
      </c>
      <c r="AR20" s="190" t="s">
        <v>3</v>
      </c>
      <c r="AS20" s="190" t="s">
        <v>70</v>
      </c>
      <c r="AT20" s="191" t="s">
        <v>71</v>
      </c>
      <c r="AU20" s="192" t="s">
        <v>1</v>
      </c>
      <c r="AV20" s="190" t="s">
        <v>2</v>
      </c>
      <c r="AW20" s="190" t="s">
        <v>3</v>
      </c>
      <c r="AX20" s="190" t="s">
        <v>70</v>
      </c>
      <c r="AY20" s="191" t="s">
        <v>71</v>
      </c>
      <c r="AZ20" s="192" t="s">
        <v>1</v>
      </c>
      <c r="BA20" s="190" t="s">
        <v>2</v>
      </c>
      <c r="BB20" s="190" t="s">
        <v>3</v>
      </c>
      <c r="BC20" s="190" t="s">
        <v>70</v>
      </c>
      <c r="BD20" s="191" t="s">
        <v>71</v>
      </c>
      <c r="BE20" s="192" t="s">
        <v>1</v>
      </c>
      <c r="BF20" s="190" t="s">
        <v>2</v>
      </c>
      <c r="BG20" s="190" t="s">
        <v>3</v>
      </c>
      <c r="BH20" s="190" t="s">
        <v>70</v>
      </c>
      <c r="BI20" s="191" t="s">
        <v>71</v>
      </c>
      <c r="BJ20" s="192" t="s">
        <v>1</v>
      </c>
      <c r="BK20" s="190" t="s">
        <v>2</v>
      </c>
      <c r="BL20" s="190" t="s">
        <v>3</v>
      </c>
      <c r="BM20" s="190" t="s">
        <v>70</v>
      </c>
      <c r="BN20" s="191" t="s">
        <v>71</v>
      </c>
      <c r="BO20" s="192" t="s">
        <v>1</v>
      </c>
      <c r="BP20" s="190" t="s">
        <v>2</v>
      </c>
      <c r="BQ20" s="190" t="s">
        <v>3</v>
      </c>
      <c r="BR20" s="190" t="s">
        <v>70</v>
      </c>
      <c r="BS20" s="191" t="s">
        <v>71</v>
      </c>
      <c r="BT20" s="192" t="s">
        <v>1</v>
      </c>
      <c r="BU20" s="190" t="s">
        <v>2</v>
      </c>
      <c r="BV20" s="190" t="s">
        <v>3</v>
      </c>
      <c r="BW20" s="190" t="s">
        <v>70</v>
      </c>
      <c r="BX20" s="191" t="s">
        <v>71</v>
      </c>
      <c r="BY20" s="192" t="s">
        <v>1</v>
      </c>
      <c r="BZ20" s="190" t="s">
        <v>2</v>
      </c>
      <c r="CA20" s="190" t="s">
        <v>3</v>
      </c>
      <c r="CB20" s="190" t="s">
        <v>70</v>
      </c>
      <c r="CC20" s="191" t="s">
        <v>71</v>
      </c>
      <c r="CD20" s="192" t="s">
        <v>1</v>
      </c>
      <c r="CE20" s="190" t="s">
        <v>2</v>
      </c>
      <c r="CF20" s="190" t="s">
        <v>3</v>
      </c>
      <c r="CG20" s="190" t="s">
        <v>70</v>
      </c>
      <c r="CH20" s="191" t="s">
        <v>71</v>
      </c>
      <c r="CI20" s="192" t="s">
        <v>1</v>
      </c>
      <c r="CJ20" s="190" t="s">
        <v>2</v>
      </c>
      <c r="CK20" s="190" t="s">
        <v>3</v>
      </c>
      <c r="CL20" s="190" t="s">
        <v>70</v>
      </c>
      <c r="CM20" s="191" t="s">
        <v>71</v>
      </c>
      <c r="CN20" s="192" t="s">
        <v>1</v>
      </c>
      <c r="CO20" s="190" t="s">
        <v>2</v>
      </c>
      <c r="CP20" s="190" t="s">
        <v>3</v>
      </c>
      <c r="CQ20" s="190" t="s">
        <v>70</v>
      </c>
      <c r="CR20" s="191" t="s">
        <v>71</v>
      </c>
      <c r="CS20" s="192" t="s">
        <v>1</v>
      </c>
      <c r="CT20" s="190" t="s">
        <v>2</v>
      </c>
      <c r="CU20" s="190" t="s">
        <v>3</v>
      </c>
      <c r="CV20" s="190" t="s">
        <v>70</v>
      </c>
      <c r="CW20" s="191" t="s">
        <v>71</v>
      </c>
      <c r="CX20" s="192" t="s">
        <v>1</v>
      </c>
      <c r="CY20" s="190" t="s">
        <v>2</v>
      </c>
      <c r="CZ20" s="190" t="s">
        <v>3</v>
      </c>
      <c r="DA20" s="190" t="s">
        <v>70</v>
      </c>
      <c r="DB20" s="191" t="s">
        <v>71</v>
      </c>
      <c r="DC20" s="192" t="s">
        <v>1</v>
      </c>
      <c r="DD20" s="190" t="s">
        <v>2</v>
      </c>
      <c r="DE20" s="190" t="s">
        <v>3</v>
      </c>
      <c r="DF20" s="190" t="s">
        <v>70</v>
      </c>
      <c r="DG20" s="191" t="s">
        <v>71</v>
      </c>
      <c r="DH20" s="192" t="s">
        <v>1</v>
      </c>
      <c r="DI20" s="190" t="s">
        <v>2</v>
      </c>
      <c r="DJ20" s="190" t="s">
        <v>3</v>
      </c>
      <c r="DK20" s="190" t="s">
        <v>70</v>
      </c>
      <c r="DL20" s="191" t="s">
        <v>71</v>
      </c>
      <c r="DM20" s="192" t="s">
        <v>1</v>
      </c>
      <c r="DN20" s="190" t="s">
        <v>2</v>
      </c>
      <c r="DO20" s="190" t="s">
        <v>3</v>
      </c>
      <c r="DP20" s="190" t="s">
        <v>70</v>
      </c>
      <c r="DQ20" s="191" t="s">
        <v>71</v>
      </c>
    </row>
    <row r="21" spans="1:122" s="187" customFormat="1" x14ac:dyDescent="0.3">
      <c r="A21" s="193" t="s">
        <v>88</v>
      </c>
      <c r="B21" s="194">
        <v>0</v>
      </c>
      <c r="C21" s="195">
        <f t="shared" ref="C21:C22" si="0" xml:space="preserve"> -0.0000000000067919258*B21^4 + 0.0000000945983196*B21^3 - 0.000504025587*B21^2 + 1.22127801*B21</f>
        <v>0</v>
      </c>
      <c r="D21" s="195">
        <f t="shared" ref="D21:D22" si="1" xml:space="preserve"> 0.0000182672053*B21^2 - 0.165450041*B21 + 1022.13715</f>
        <v>1022.13715</v>
      </c>
      <c r="E21" s="196" t="b">
        <v>1</v>
      </c>
      <c r="F21" s="197">
        <v>0</v>
      </c>
      <c r="G21" s="198"/>
      <c r="H21" s="199"/>
      <c r="I21" s="199"/>
      <c r="J21" s="200"/>
      <c r="K21" s="201"/>
      <c r="L21" s="198"/>
      <c r="M21" s="199"/>
      <c r="N21" s="199"/>
      <c r="O21" s="200"/>
      <c r="P21" s="201"/>
      <c r="Q21" s="202"/>
      <c r="R21" s="199"/>
      <c r="S21" s="199"/>
      <c r="T21" s="200"/>
      <c r="U21" s="201"/>
      <c r="V21" s="198"/>
      <c r="W21" s="203"/>
      <c r="X21" s="199"/>
      <c r="Y21" s="200"/>
      <c r="Z21" s="204"/>
      <c r="AA21" s="198">
        <v>2625</v>
      </c>
      <c r="AB21" s="203">
        <v>0</v>
      </c>
      <c r="AC21" s="205">
        <f>$B$7+TAN(RADIANS($B$8))*(AA21-$B$6)+$B$10</f>
        <v>1196.5022286486476</v>
      </c>
      <c r="AD21" s="200" t="b">
        <v>1</v>
      </c>
      <c r="AE21" s="204">
        <v>1</v>
      </c>
      <c r="AF21" s="198"/>
      <c r="AG21" s="199"/>
      <c r="AH21" s="205"/>
      <c r="AI21" s="200"/>
      <c r="AJ21" s="204"/>
      <c r="AK21" s="206"/>
      <c r="AL21" s="203"/>
      <c r="AM21" s="203"/>
      <c r="AN21" s="203"/>
      <c r="AO21" s="204"/>
      <c r="AP21" s="198"/>
      <c r="AQ21" s="199"/>
      <c r="AR21" s="205"/>
      <c r="AS21" s="200"/>
      <c r="AT21" s="204"/>
      <c r="AU21" s="206"/>
      <c r="AV21" s="203"/>
      <c r="AW21" s="203"/>
      <c r="AX21" s="203"/>
      <c r="AY21" s="204"/>
      <c r="AZ21" s="198"/>
      <c r="BA21" s="199"/>
      <c r="BB21" s="205"/>
      <c r="BC21" s="200"/>
      <c r="BD21" s="204"/>
      <c r="BE21" s="198">
        <v>3000</v>
      </c>
      <c r="BF21" s="199">
        <v>0</v>
      </c>
      <c r="BG21" s="205">
        <f>$B$7+TAN(RADIANS($B$8))*(BE21-$B$6)+$B$10</f>
        <v>1216.1551458797881</v>
      </c>
      <c r="BH21" s="200" t="b">
        <v>0</v>
      </c>
      <c r="BI21" s="204">
        <v>1</v>
      </c>
      <c r="BJ21" s="198">
        <v>3500</v>
      </c>
      <c r="BK21" s="199">
        <v>0</v>
      </c>
      <c r="BL21" s="205">
        <f>$B$7+TAN(RADIANS($B$8))*(BJ21-$B$6)+$B$10</f>
        <v>1242.3590355213087</v>
      </c>
      <c r="BM21" s="200" t="b">
        <v>0</v>
      </c>
      <c r="BN21" s="204">
        <v>1</v>
      </c>
      <c r="BO21" s="198">
        <v>4000</v>
      </c>
      <c r="BP21" s="199">
        <v>0</v>
      </c>
      <c r="BQ21" s="205">
        <f>$B$7+TAN(RADIANS($B$8))*(BO21-$B$6)+$B$10</f>
        <v>1268.5629251628293</v>
      </c>
      <c r="BR21" s="200" t="b">
        <v>0</v>
      </c>
      <c r="BS21" s="204">
        <v>1</v>
      </c>
      <c r="BT21" s="198"/>
      <c r="BU21" s="199"/>
      <c r="BV21" s="205"/>
      <c r="BW21" s="200"/>
      <c r="BX21" s="204"/>
      <c r="BY21" s="206"/>
      <c r="BZ21" s="203"/>
      <c r="CA21" s="203"/>
      <c r="CB21" s="203"/>
      <c r="CC21" s="204"/>
      <c r="CD21" s="207">
        <v>4552</v>
      </c>
      <c r="CE21" s="199">
        <v>0</v>
      </c>
      <c r="CF21" s="205">
        <f>$B$7+TAN(RADIANS($B$8))*(CD21-$B$6)+$B$10</f>
        <v>1297.492019327068</v>
      </c>
      <c r="CG21" s="200" t="b">
        <v>1</v>
      </c>
      <c r="CH21" s="204">
        <v>0</v>
      </c>
      <c r="CI21" s="208">
        <v>4800</v>
      </c>
      <c r="CJ21" s="209">
        <v>0</v>
      </c>
      <c r="CK21" s="210">
        <f xml:space="preserve"> 0.0000182672053*CI21^2 - 0.165450041*CI21 + 1022.13715+$B$9-$B$11</f>
        <v>418.85336331200006</v>
      </c>
      <c r="CL21" s="211" t="b">
        <v>1</v>
      </c>
      <c r="CM21" s="212">
        <v>1</v>
      </c>
      <c r="CN21" s="206"/>
      <c r="CO21" s="203"/>
      <c r="CP21" s="203"/>
      <c r="CQ21" s="203"/>
      <c r="CR21" s="204"/>
      <c r="CS21" s="192">
        <v>5500</v>
      </c>
      <c r="CT21" s="210">
        <v>0</v>
      </c>
      <c r="CU21" s="210">
        <f xml:space="preserve"> 0.0000182672053*CS21^2 - 0.165450041*CS21 + 1022.13715+$B$9-$B$11</f>
        <v>434.74488482499999</v>
      </c>
      <c r="CV21" s="190" t="b">
        <v>0</v>
      </c>
      <c r="CW21" s="191">
        <v>1</v>
      </c>
      <c r="CX21" s="206"/>
      <c r="CY21" s="203"/>
      <c r="CZ21" s="203"/>
      <c r="DA21" s="203"/>
      <c r="DB21" s="204"/>
      <c r="DC21" s="213">
        <v>5950</v>
      </c>
      <c r="DD21" s="209">
        <v>0</v>
      </c>
      <c r="DE21" s="210">
        <f xml:space="preserve"> 0.0000182672053*DC21^2 - 0.165450041*DC21 + 1022.13715+$B$9-$B$11</f>
        <v>454.41414168325002</v>
      </c>
      <c r="DF21" s="211" t="b">
        <v>1</v>
      </c>
      <c r="DG21" s="212">
        <v>0</v>
      </c>
      <c r="DH21" s="198"/>
      <c r="DI21" s="199"/>
      <c r="DJ21" s="199"/>
      <c r="DK21" s="200"/>
      <c r="DL21" s="201"/>
      <c r="DM21" s="214">
        <v>6993.1696523062756</v>
      </c>
      <c r="DN21" s="195">
        <f t="shared" ref="DN21:DN32" si="2" xml:space="preserve"> -0.0000000000067919258*DM21^4 + 0.0000000945983196*DM21^3 - 0.000504025587*DM21^2 + 1.22127801*DM21</f>
        <v>4.4159787648823112E-7</v>
      </c>
      <c r="DO21" s="195">
        <f t="shared" ref="DO21:DO32" si="3" xml:space="preserve"> 0.0000182672053*DM21^2 - 0.165450041*DM21 + 1022.13715</f>
        <v>758.46405714748335</v>
      </c>
      <c r="DP21" s="196" t="b">
        <v>1</v>
      </c>
      <c r="DQ21" s="197">
        <v>0</v>
      </c>
    </row>
    <row r="22" spans="1:122" s="187" customFormat="1" ht="14.25" customHeight="1" x14ac:dyDescent="0.3">
      <c r="A22" s="193" t="s">
        <v>83</v>
      </c>
      <c r="B22" s="194">
        <v>0</v>
      </c>
      <c r="C22" s="195">
        <f t="shared" si="0"/>
        <v>0</v>
      </c>
      <c r="D22" s="195">
        <f t="shared" si="1"/>
        <v>1022.13715</v>
      </c>
      <c r="E22" s="196" t="b">
        <v>1</v>
      </c>
      <c r="F22" s="197">
        <v>0</v>
      </c>
      <c r="G22" s="198"/>
      <c r="H22" s="199"/>
      <c r="I22" s="199"/>
      <c r="J22" s="200"/>
      <c r="K22" s="201"/>
      <c r="L22" s="198"/>
      <c r="M22" s="199"/>
      <c r="N22" s="199"/>
      <c r="O22" s="200"/>
      <c r="P22" s="201"/>
      <c r="Q22" s="202"/>
      <c r="R22" s="199"/>
      <c r="S22" s="199"/>
      <c r="T22" s="200"/>
      <c r="U22" s="201"/>
      <c r="V22" s="198"/>
      <c r="W22" s="203"/>
      <c r="X22" s="199"/>
      <c r="Y22" s="200"/>
      <c r="Z22" s="204"/>
      <c r="AA22" s="215">
        <v>2625</v>
      </c>
      <c r="AB22" s="216">
        <v>0</v>
      </c>
      <c r="AC22" s="217">
        <f>$B$7+TAN(RADIANS($B$8))*(AA22-$B$6)+$B$10</f>
        <v>1196.5022286486476</v>
      </c>
      <c r="AD22" s="196" t="b">
        <v>1</v>
      </c>
      <c r="AE22" s="218">
        <v>2</v>
      </c>
      <c r="AF22" s="198">
        <v>2626</v>
      </c>
      <c r="AG22" s="210">
        <f xml:space="preserve"> -0.0000000000067919258*AF22^4 + 0.0000000945983196*AF22^3 - 0.000504025587*AF22^2 + 1.22127801*AF22-400-200</f>
        <v>521.44126720548138</v>
      </c>
      <c r="AH22" s="205">
        <f>$B$7+TAN(RADIANS($B$8))*(AF22-$B$6)+$B$10</f>
        <v>1196.5546364279305</v>
      </c>
      <c r="AI22" s="200" t="b">
        <v>1</v>
      </c>
      <c r="AJ22" s="204">
        <v>2</v>
      </c>
      <c r="AK22" s="206"/>
      <c r="AL22" s="203"/>
      <c r="AM22" s="203"/>
      <c r="AN22" s="203"/>
      <c r="AO22" s="204"/>
      <c r="AP22" s="198"/>
      <c r="AQ22" s="199"/>
      <c r="AR22" s="205"/>
      <c r="AS22" s="200"/>
      <c r="AT22" s="204"/>
      <c r="AU22" s="206"/>
      <c r="AV22" s="203"/>
      <c r="AW22" s="203"/>
      <c r="AX22" s="203"/>
      <c r="AY22" s="204"/>
      <c r="AZ22" s="198">
        <v>2825</v>
      </c>
      <c r="BA22" s="210">
        <f xml:space="preserve"> -0.0000000000067919258*AZ22^4 + 0.0000000945983196*AZ22^3 - 0.000504025587*AZ22^2 + 1.22127801*AZ22-400-200</f>
        <v>527.83511723149786</v>
      </c>
      <c r="BB22" s="205">
        <f>$B$7+TAN(RADIANS($B$8))*(AZ22-$B$6)+$B$10</f>
        <v>1206.9837845052557</v>
      </c>
      <c r="BC22" s="200" t="b">
        <v>1</v>
      </c>
      <c r="BD22" s="204">
        <v>2</v>
      </c>
      <c r="BE22" s="198">
        <v>3000</v>
      </c>
      <c r="BF22" s="210">
        <f xml:space="preserve"> -0.0000000000067919258*BE22^4 + 0.0000000945983196*BE22^3 - 0.000504025587*BE22^2 + 1.22127801*BE22-400-200</f>
        <v>531.6123864000001</v>
      </c>
      <c r="BG22" s="205">
        <f>$B$7+TAN(RADIANS($B$8))*(BE22-$B$6)+$B$10</f>
        <v>1216.1551458797881</v>
      </c>
      <c r="BH22" s="200" t="b">
        <v>0</v>
      </c>
      <c r="BI22" s="204">
        <v>2</v>
      </c>
      <c r="BJ22" s="198">
        <v>3500</v>
      </c>
      <c r="BK22" s="210">
        <f xml:space="preserve"> -0.0000000000067919258*BJ22^4 + 0.0000000945983196*BJ22^3 - 0.000504025587*BJ22^2 + 1.22127801*BJ22-400-200</f>
        <v>536.84918173749975</v>
      </c>
      <c r="BL22" s="205">
        <f>$B$7+TAN(RADIANS($B$8))*(BJ22-$B$6)+$B$10</f>
        <v>1242.3590355213087</v>
      </c>
      <c r="BM22" s="200" t="b">
        <v>0</v>
      </c>
      <c r="BN22" s="204">
        <v>2</v>
      </c>
      <c r="BO22" s="198">
        <v>4000</v>
      </c>
      <c r="BP22" s="210">
        <f xml:space="preserve"> -0.0000000000067919258*BO22^4 + 0.0000000945983196*BO22^3 - 0.000504025587*BO22^2 + 1.22127801*BO22-400-200</f>
        <v>536.26209759999983</v>
      </c>
      <c r="BQ22" s="205">
        <f>$B$7+TAN(RADIANS($B$8))*(BO22-$B$6)+$B$10</f>
        <v>1268.5629251628293</v>
      </c>
      <c r="BR22" s="200" t="b">
        <v>0</v>
      </c>
      <c r="BS22" s="204">
        <v>2</v>
      </c>
      <c r="BT22" s="198">
        <v>4550</v>
      </c>
      <c r="BU22" s="210">
        <f xml:space="preserve"> -0.0000000000067919258*BT22^4 + 0.0000000945983196*BT22^3 - 0.000504025587*BT22^2 + 1.22127801*BT22-400-200</f>
        <v>522.06872523211496</v>
      </c>
      <c r="BV22" s="205">
        <f>$B$7+TAN(RADIANS($B$8))*(BT22-$B$6)+$B$10</f>
        <v>1297.3872037685019</v>
      </c>
      <c r="BW22" s="200" t="b">
        <v>1</v>
      </c>
      <c r="BX22" s="204">
        <v>2</v>
      </c>
      <c r="BY22" s="198">
        <v>4551</v>
      </c>
      <c r="BZ22" s="210">
        <f xml:space="preserve"> -0.0000000000067919258*BY22^4 + 0.0000000945983196*BY22^3 - 0.000504025587*BY22^2 + 1.22127801*BY22-400-200</f>
        <v>522.01947992984606</v>
      </c>
      <c r="CA22" s="205">
        <f>$B$7+TAN(RADIANS($B$8))*(BY22-$B$6)+$B$10</f>
        <v>1297.439611547785</v>
      </c>
      <c r="CB22" s="200" t="b">
        <v>1</v>
      </c>
      <c r="CC22" s="204">
        <v>2</v>
      </c>
      <c r="CD22" s="215">
        <v>4552</v>
      </c>
      <c r="CE22" s="195">
        <f>CE21</f>
        <v>0</v>
      </c>
      <c r="CF22" s="217">
        <f>$B$7+TAN(RADIANS($B$8))*(CD22-$B$6)+$B$10</f>
        <v>1297.492019327068</v>
      </c>
      <c r="CG22" s="196" t="b">
        <v>1</v>
      </c>
      <c r="CH22" s="218">
        <v>0</v>
      </c>
      <c r="CI22" s="208">
        <v>4800</v>
      </c>
      <c r="CJ22" s="209">
        <v>0</v>
      </c>
      <c r="CK22" s="210">
        <f xml:space="preserve"> 0.0000182672053*CI22^2 - 0.165450041*CI22 + 1022.13715+$B$9-$B$11</f>
        <v>418.85336331200006</v>
      </c>
      <c r="CL22" s="211" t="b">
        <v>1</v>
      </c>
      <c r="CM22" s="212">
        <v>2</v>
      </c>
      <c r="CN22" s="192">
        <v>4801</v>
      </c>
      <c r="CO22" s="210">
        <v>310</v>
      </c>
      <c r="CP22" s="210">
        <f xml:space="preserve"> 0.0000182672053*CN22^2 - 0.165450041*CN22 + 1022.13715+$B$9-$B$11</f>
        <v>418.86329670908526</v>
      </c>
      <c r="CQ22" s="190" t="b">
        <v>1</v>
      </c>
      <c r="CR22" s="191">
        <v>2</v>
      </c>
      <c r="CS22" s="192">
        <v>5500</v>
      </c>
      <c r="CT22" s="210">
        <f>(CY22-CO22)/(CX22-CN22)*(CS22-CN22)+CO22</f>
        <v>221.71167247386762</v>
      </c>
      <c r="CU22" s="210">
        <f xml:space="preserve"> 0.0000182672053*CS22^2 - 0.165450041*CS22 + 1022.13715+$B$9-$B$11</f>
        <v>434.74488482499999</v>
      </c>
      <c r="CV22" s="190" t="b">
        <v>0</v>
      </c>
      <c r="CW22" s="191">
        <v>2</v>
      </c>
      <c r="CX22" s="192">
        <v>5949</v>
      </c>
      <c r="CY22" s="210">
        <v>165</v>
      </c>
      <c r="CZ22" s="210">
        <f xml:space="preserve"> 0.0000182672053*CX22^2 - 0.165450041*CX22 + 1022.13715+$B$9-$B$11</f>
        <v>454.36223024838534</v>
      </c>
      <c r="DA22" s="190" t="b">
        <v>1</v>
      </c>
      <c r="DB22" s="191">
        <v>2</v>
      </c>
      <c r="DC22" s="213">
        <v>5950</v>
      </c>
      <c r="DD22" s="209">
        <v>0</v>
      </c>
      <c r="DE22" s="210">
        <f xml:space="preserve"> 0.0000182672053*DC22^2 - 0.165450041*DC22 + 1022.13715+$B$9-$B$11</f>
        <v>454.41414168325002</v>
      </c>
      <c r="DF22" s="211" t="b">
        <v>1</v>
      </c>
      <c r="DG22" s="212">
        <v>0</v>
      </c>
      <c r="DH22" s="198"/>
      <c r="DI22" s="199"/>
      <c r="DJ22" s="199"/>
      <c r="DK22" s="200"/>
      <c r="DL22" s="201"/>
      <c r="DM22" s="214">
        <v>6993.1696523062756</v>
      </c>
      <c r="DN22" s="195">
        <f t="shared" si="2"/>
        <v>4.4159787648823112E-7</v>
      </c>
      <c r="DO22" s="195">
        <f t="shared" si="3"/>
        <v>758.46405714748335</v>
      </c>
      <c r="DP22" s="196" t="b">
        <v>1</v>
      </c>
      <c r="DQ22" s="197">
        <v>0</v>
      </c>
    </row>
    <row r="23" spans="1:122" s="187" customFormat="1" x14ac:dyDescent="0.3">
      <c r="A23" s="193" t="s">
        <v>90</v>
      </c>
      <c r="B23" s="194">
        <v>0</v>
      </c>
      <c r="C23" s="195">
        <f t="shared" ref="C23:C25" si="4" xml:space="preserve"> -0.0000000000067919258*B23^4 + 0.0000000945983196*B23^3 - 0.000504025587*B23^2 + 1.22127801*B23</f>
        <v>0</v>
      </c>
      <c r="D23" s="195">
        <f t="shared" ref="D23:D25" si="5" xml:space="preserve"> 0.0000182672053*B23^2 - 0.165450041*B23 + 1022.13715</f>
        <v>1022.13715</v>
      </c>
      <c r="E23" s="196" t="b">
        <v>1</v>
      </c>
      <c r="F23" s="197">
        <v>0</v>
      </c>
      <c r="G23" s="198"/>
      <c r="H23" s="199"/>
      <c r="I23" s="199"/>
      <c r="J23" s="200"/>
      <c r="K23" s="201"/>
      <c r="L23" s="198"/>
      <c r="M23" s="199"/>
      <c r="N23" s="199"/>
      <c r="O23" s="200"/>
      <c r="P23" s="201"/>
      <c r="Q23" s="202"/>
      <c r="R23" s="199"/>
      <c r="S23" s="199"/>
      <c r="T23" s="200"/>
      <c r="U23" s="201"/>
      <c r="V23" s="198"/>
      <c r="W23" s="203"/>
      <c r="X23" s="199"/>
      <c r="Y23" s="200"/>
      <c r="Z23" s="204"/>
      <c r="AA23" s="198"/>
      <c r="AB23" s="203"/>
      <c r="AC23" s="205"/>
      <c r="AD23" s="200"/>
      <c r="AE23" s="204"/>
      <c r="AF23" s="215">
        <v>2626</v>
      </c>
      <c r="AG23" s="209">
        <f xml:space="preserve"> -0.0000000000067919258*AF23^4 + 0.0000000945983196*AF23^3 - 0.000504025587*AF23^2 + 1.22127801*AF23-400-200</f>
        <v>521.44126720548138</v>
      </c>
      <c r="AH23" s="217">
        <f>$B$7+TAN(RADIANS($B$8))*(AF23-$B$6)+$B$10</f>
        <v>1196.5546364279305</v>
      </c>
      <c r="AI23" s="196" t="b">
        <v>1</v>
      </c>
      <c r="AJ23" s="218">
        <v>4</v>
      </c>
      <c r="AK23" s="198">
        <v>2652</v>
      </c>
      <c r="AL23" s="210">
        <f xml:space="preserve"> -0.0000000000067919258*AK23^4 + 0.0000000945983196*AK23^3 - 0.000504025587*AK23^2 + 1.22127801*AK23-400-100</f>
        <v>622.43350698979702</v>
      </c>
      <c r="AM23" s="205">
        <f>$B$7+TAN(RADIANS($B$8))*(AK23-$B$6)+$B$10*0.5</f>
        <v>1147.9172386892897</v>
      </c>
      <c r="AN23" s="200" t="b">
        <v>1</v>
      </c>
      <c r="AO23" s="204">
        <v>4</v>
      </c>
      <c r="AP23" s="198">
        <v>2725</v>
      </c>
      <c r="AQ23" s="210">
        <f xml:space="preserve"> -0.0000000000067919258*AP23^4 + 0.0000000945983196*AP23^3 - 0.000504025587*AP23^2 + 1.22127801*AP23-400-27</f>
        <v>697.95216128089123</v>
      </c>
      <c r="AR23" s="205">
        <f>$B$7+TAN(RADIANS($B$8))*(AP23-$B$6)+$B$10*0.134</f>
        <v>1115.1430065769518</v>
      </c>
      <c r="AS23" s="200" t="b">
        <v>1</v>
      </c>
      <c r="AT23" s="204">
        <v>4</v>
      </c>
      <c r="AU23" s="206"/>
      <c r="AV23" s="203"/>
      <c r="AW23" s="203"/>
      <c r="AX23" s="203"/>
      <c r="AY23" s="204"/>
      <c r="AZ23" s="198">
        <v>2825</v>
      </c>
      <c r="BA23" s="210">
        <f xml:space="preserve"> -0.0000000000067919258*AZ23^4 + 0.0000000945983196*AZ23^3 - 0.000504025587*AZ23^2 + 1.22127801*AZ23-400.5</f>
        <v>727.33511723149786</v>
      </c>
      <c r="BB23" s="205">
        <f>$B$7+TAN(RADIANS($B$8))*(AZ23-$B$6)</f>
        <v>1106.9837845052557</v>
      </c>
      <c r="BC23" s="200" t="b">
        <v>1</v>
      </c>
      <c r="BD23" s="204">
        <v>4</v>
      </c>
      <c r="BE23" s="198">
        <v>3000</v>
      </c>
      <c r="BF23" s="210">
        <f xml:space="preserve"> -0.0000000000067919258*BE23^4 + 0.0000000945983196*BE23^3 - 0.000504025587*BE23^2 + 1.22127801*BE23-400.5</f>
        <v>731.1123864000001</v>
      </c>
      <c r="BG23" s="205">
        <f>$B$7+TAN(RADIANS($B$8))*(BE23-$B$6)</f>
        <v>1116.1551458797881</v>
      </c>
      <c r="BH23" s="200" t="b">
        <v>0</v>
      </c>
      <c r="BI23" s="204">
        <v>4</v>
      </c>
      <c r="BJ23" s="198">
        <v>3500</v>
      </c>
      <c r="BK23" s="210">
        <f xml:space="preserve"> -0.0000000000067919258*BJ23^4 + 0.0000000945983196*BJ23^3 - 0.000504025587*BJ23^2 + 1.22127801*BJ23-400.5</f>
        <v>736.34918173749975</v>
      </c>
      <c r="BL23" s="205">
        <f>$B$7+TAN(RADIANS($B$8))*(BJ23-$B$6)</f>
        <v>1142.3590355213087</v>
      </c>
      <c r="BM23" s="200" t="b">
        <v>0</v>
      </c>
      <c r="BN23" s="204">
        <v>4</v>
      </c>
      <c r="BO23" s="198">
        <v>4000</v>
      </c>
      <c r="BP23" s="210">
        <f xml:space="preserve"> -0.0000000000067919258*BO23^4 + 0.0000000945983196*BO23^3 - 0.000504025587*BO23^2 + 1.22127801*BO23-400.5</f>
        <v>735.76209759999983</v>
      </c>
      <c r="BQ23" s="205">
        <f>$B$7+TAN(RADIANS($B$8))*(BO23-$B$6)</f>
        <v>1168.5629251628293</v>
      </c>
      <c r="BR23" s="200" t="b">
        <v>0</v>
      </c>
      <c r="BS23" s="204">
        <v>4</v>
      </c>
      <c r="BT23" s="198">
        <v>4550</v>
      </c>
      <c r="BU23" s="210">
        <f xml:space="preserve"> -0.0000000000067919258*BT23^4 + 0.0000000945983196*BT23^3 - 0.000504025587*BT23^2 + 1.22127801*BT23-400.5</f>
        <v>721.56872523211496</v>
      </c>
      <c r="BV23" s="205">
        <f>$B$7+TAN(RADIANS($B$8))*(BT23-$B$6)</f>
        <v>1197.3872037685019</v>
      </c>
      <c r="BW23" s="200" t="b">
        <v>1</v>
      </c>
      <c r="BX23" s="204">
        <v>4</v>
      </c>
      <c r="BY23" s="215">
        <v>4551</v>
      </c>
      <c r="BZ23" s="209">
        <f xml:space="preserve"> -0.0000000000067919258*BY23^4 + 0.0000000945983196*BY23^3 - 0.000504025587*BY23^2 + 1.22127801*BY23-400.5-200</f>
        <v>521.51947992984606</v>
      </c>
      <c r="CA23" s="217">
        <f>$B$7+TAN(RADIANS($B$8))*(BY23-$B$6)+$B$10</f>
        <v>1297.439611547785</v>
      </c>
      <c r="CB23" s="196" t="b">
        <v>1</v>
      </c>
      <c r="CC23" s="218">
        <v>0</v>
      </c>
      <c r="CD23" s="202"/>
      <c r="CE23" s="199"/>
      <c r="CF23" s="199"/>
      <c r="CG23" s="200"/>
      <c r="CH23" s="201"/>
      <c r="CI23" s="198"/>
      <c r="CJ23" s="199"/>
      <c r="CK23" s="199"/>
      <c r="CL23" s="200"/>
      <c r="CM23" s="201"/>
      <c r="CN23" s="198"/>
      <c r="CO23" s="199"/>
      <c r="CP23" s="199"/>
      <c r="CQ23" s="200"/>
      <c r="CR23" s="201"/>
      <c r="CS23" s="206"/>
      <c r="CT23" s="203"/>
      <c r="CU23" s="203"/>
      <c r="CV23" s="203"/>
      <c r="CW23" s="204"/>
      <c r="CX23" s="202"/>
      <c r="CY23" s="199"/>
      <c r="CZ23" s="199"/>
      <c r="DA23" s="200"/>
      <c r="DB23" s="201"/>
      <c r="DC23" s="198"/>
      <c r="DD23" s="199"/>
      <c r="DE23" s="199"/>
      <c r="DF23" s="200"/>
      <c r="DG23" s="201"/>
      <c r="DH23" s="198"/>
      <c r="DI23" s="199"/>
      <c r="DJ23" s="199"/>
      <c r="DK23" s="200"/>
      <c r="DL23" s="201"/>
      <c r="DM23" s="214">
        <v>6993.1696523062756</v>
      </c>
      <c r="DN23" s="195">
        <f t="shared" si="2"/>
        <v>4.4159787648823112E-7</v>
      </c>
      <c r="DO23" s="195">
        <f t="shared" si="3"/>
        <v>758.46405714748335</v>
      </c>
      <c r="DP23" s="196" t="b">
        <v>1</v>
      </c>
      <c r="DQ23" s="197">
        <v>0</v>
      </c>
    </row>
    <row r="24" spans="1:122" s="176" customFormat="1" x14ac:dyDescent="0.3">
      <c r="A24" s="219" t="s">
        <v>70</v>
      </c>
      <c r="B24" s="220">
        <v>0</v>
      </c>
      <c r="C24" s="221">
        <f t="shared" ref="C24" si="6" xml:space="preserve"> -0.0000000000067919258*B24^4 + 0.0000000945983196*B24^3 - 0.000504025587*B24^2 + 1.22127801*B24</f>
        <v>0</v>
      </c>
      <c r="D24" s="221">
        <f t="shared" ref="D24" si="7" xml:space="preserve"> 0.0000182672053*B24^2 - 0.165450041*B24 + 1022.13715</f>
        <v>1022.13715</v>
      </c>
      <c r="E24" s="222" t="b">
        <v>1</v>
      </c>
      <c r="F24" s="223">
        <v>0</v>
      </c>
      <c r="G24" s="224"/>
      <c r="H24" s="225"/>
      <c r="I24" s="225"/>
      <c r="J24" s="226"/>
      <c r="K24" s="227"/>
      <c r="L24" s="224"/>
      <c r="M24" s="225"/>
      <c r="N24" s="225"/>
      <c r="O24" s="226"/>
      <c r="P24" s="227"/>
      <c r="Q24" s="228"/>
      <c r="R24" s="225"/>
      <c r="S24" s="225"/>
      <c r="T24" s="226"/>
      <c r="U24" s="227"/>
      <c r="V24" s="224"/>
      <c r="W24" s="229"/>
      <c r="X24" s="225"/>
      <c r="Y24" s="226"/>
      <c r="Z24" s="230"/>
      <c r="AA24" s="224"/>
      <c r="AB24" s="229"/>
      <c r="AC24" s="231"/>
      <c r="AD24" s="226"/>
      <c r="AE24" s="230"/>
      <c r="AF24" s="232"/>
      <c r="AG24" s="221"/>
      <c r="AH24" s="233"/>
      <c r="AI24" s="222"/>
      <c r="AJ24" s="234"/>
      <c r="AK24" s="224"/>
      <c r="AL24" s="225"/>
      <c r="AM24" s="231"/>
      <c r="AN24" s="226"/>
      <c r="AO24" s="230"/>
      <c r="AP24" s="224"/>
      <c r="AQ24" s="225"/>
      <c r="AR24" s="231"/>
      <c r="AS24" s="226"/>
      <c r="AT24" s="230"/>
      <c r="AU24" s="235"/>
      <c r="AV24" s="229"/>
      <c r="AW24" s="229"/>
      <c r="AX24" s="229"/>
      <c r="AY24" s="230"/>
      <c r="AZ24" s="224"/>
      <c r="BA24" s="225"/>
      <c r="BB24" s="231"/>
      <c r="BC24" s="226"/>
      <c r="BD24" s="230"/>
      <c r="BE24" s="224"/>
      <c r="BF24" s="225"/>
      <c r="BG24" s="231"/>
      <c r="BH24" s="226"/>
      <c r="BI24" s="230"/>
      <c r="BJ24" s="224"/>
      <c r="BK24" s="225"/>
      <c r="BL24" s="231"/>
      <c r="BM24" s="226"/>
      <c r="BN24" s="230"/>
      <c r="BO24" s="224"/>
      <c r="BP24" s="225"/>
      <c r="BQ24" s="231"/>
      <c r="BR24" s="226"/>
      <c r="BS24" s="230"/>
      <c r="BT24" s="224"/>
      <c r="BU24" s="225"/>
      <c r="BV24" s="231"/>
      <c r="BW24" s="226"/>
      <c r="BX24" s="230"/>
      <c r="BY24" s="232"/>
      <c r="BZ24" s="225"/>
      <c r="CA24" s="233"/>
      <c r="CB24" s="222"/>
      <c r="CC24" s="234"/>
      <c r="CD24" s="228"/>
      <c r="CE24" s="225"/>
      <c r="CF24" s="225"/>
      <c r="CG24" s="226"/>
      <c r="CH24" s="227"/>
      <c r="CI24" s="224"/>
      <c r="CJ24" s="225"/>
      <c r="CK24" s="225"/>
      <c r="CL24" s="226"/>
      <c r="CM24" s="227"/>
      <c r="CN24" s="224"/>
      <c r="CO24" s="225"/>
      <c r="CP24" s="225"/>
      <c r="CQ24" s="226"/>
      <c r="CR24" s="227"/>
      <c r="CS24" s="224"/>
      <c r="CT24" s="225"/>
      <c r="CU24" s="225"/>
      <c r="CV24" s="226"/>
      <c r="CW24" s="227"/>
      <c r="CX24" s="228"/>
      <c r="CY24" s="225"/>
      <c r="CZ24" s="225"/>
      <c r="DA24" s="226"/>
      <c r="DB24" s="227"/>
      <c r="DC24" s="224"/>
      <c r="DD24" s="225"/>
      <c r="DE24" s="225"/>
      <c r="DF24" s="226"/>
      <c r="DG24" s="227"/>
      <c r="DH24" s="224"/>
      <c r="DI24" s="225"/>
      <c r="DJ24" s="225"/>
      <c r="DK24" s="226"/>
      <c r="DL24" s="227"/>
      <c r="DM24" s="236">
        <v>6993.1696523062756</v>
      </c>
      <c r="DN24" s="221">
        <f t="shared" si="2"/>
        <v>4.4159787648823112E-7</v>
      </c>
      <c r="DO24" s="221">
        <f t="shared" ref="DO24" si="8" xml:space="preserve"> 0.0000182672053*DM24^2 - 0.165450041*DM24 + 1022.13715</f>
        <v>758.46405714748335</v>
      </c>
      <c r="DP24" s="222" t="b">
        <v>1</v>
      </c>
      <c r="DQ24" s="223">
        <v>0</v>
      </c>
      <c r="DR24" s="187"/>
    </row>
    <row r="25" spans="1:122" s="187" customFormat="1" x14ac:dyDescent="0.3">
      <c r="A25" s="193" t="s">
        <v>84</v>
      </c>
      <c r="B25" s="194">
        <v>0</v>
      </c>
      <c r="C25" s="195">
        <f t="shared" si="4"/>
        <v>0</v>
      </c>
      <c r="D25" s="195">
        <f t="shared" si="5"/>
        <v>1022.13715</v>
      </c>
      <c r="E25" s="196" t="b">
        <v>1</v>
      </c>
      <c r="F25" s="197">
        <v>0</v>
      </c>
      <c r="G25" s="214">
        <v>544.48800000000006</v>
      </c>
      <c r="H25" s="195">
        <v>0</v>
      </c>
      <c r="I25" s="195">
        <f xml:space="preserve"> 0.0000182672053*G25^2 - 0.165450041*G25 + 1022.13715+$B$9</f>
        <v>987.46721495692896</v>
      </c>
      <c r="J25" s="196" t="b">
        <v>1</v>
      </c>
      <c r="K25" s="197">
        <v>0</v>
      </c>
      <c r="L25" s="198">
        <v>1000</v>
      </c>
      <c r="M25" s="199">
        <v>0</v>
      </c>
      <c r="N25" s="199">
        <f xml:space="preserve"> 0.0000182672053*L25^2 - 0.165450041*L25 + 1022.13715+$B$9</f>
        <v>924.95431430000008</v>
      </c>
      <c r="O25" s="200" t="b">
        <v>0</v>
      </c>
      <c r="P25" s="201">
        <v>0</v>
      </c>
      <c r="Q25" s="198">
        <v>1500</v>
      </c>
      <c r="R25" s="199">
        <v>0</v>
      </c>
      <c r="S25" s="199">
        <f xml:space="preserve"> 0.0000182672053*Q25^2 - 0.165450041*Q25 + 1022.13715+$B$9</f>
        <v>865.06330042500008</v>
      </c>
      <c r="T25" s="200" t="b">
        <v>0</v>
      </c>
      <c r="U25" s="201">
        <v>0</v>
      </c>
      <c r="V25" s="198">
        <v>2000</v>
      </c>
      <c r="W25" s="199">
        <v>0</v>
      </c>
      <c r="X25" s="199">
        <f xml:space="preserve"> 0.0000182672053*V25^2 - 0.165450041*V25 + 1022.13715+$B$9</f>
        <v>814.30588920000002</v>
      </c>
      <c r="Y25" s="200" t="b">
        <v>0</v>
      </c>
      <c r="Z25" s="204">
        <v>0</v>
      </c>
      <c r="AA25" s="214">
        <v>2625</v>
      </c>
      <c r="AB25" s="195">
        <v>0</v>
      </c>
      <c r="AC25" s="195">
        <f xml:space="preserve"> 0.0000182672053*AA25^2 - 0.165450041*AA25 + 1022.13715+$B$9</f>
        <v>763.70325389531251</v>
      </c>
      <c r="AD25" s="196" t="b">
        <v>1</v>
      </c>
      <c r="AE25" s="197">
        <v>0</v>
      </c>
      <c r="AF25" s="198">
        <v>2626</v>
      </c>
      <c r="AG25" s="210">
        <f xml:space="preserve"> -0.0000000000067919258*AF25^4 + 0.0000000945983196*AF25^3 - 0.000504025587*AF25^2 + 1.22127801*AF25-400-200</f>
        <v>521.44126720548138</v>
      </c>
      <c r="AH25" s="199">
        <f xml:space="preserve"> 0.0000182672053*AF25^2 - 0.165450041*AF25 + 1022.13715+$B$9</f>
        <v>763.63372494934288</v>
      </c>
      <c r="AI25" s="200" t="b">
        <v>1</v>
      </c>
      <c r="AJ25" s="201">
        <v>0</v>
      </c>
      <c r="AK25" s="198">
        <v>2652</v>
      </c>
      <c r="AL25" s="210">
        <f xml:space="preserve"> -0.0000000000067919258*AK25^4 + 0.0000000945983196*AK25^3 - 0.000504025587*AK25^2 + 1.22127801*AK25-400-100</f>
        <v>622.43350698979702</v>
      </c>
      <c r="AM25" s="199">
        <f xml:space="preserve"> 0.0000182672053*AK25^2 - 0.165450041*AK25 + 1022.13715+$B$9</f>
        <v>761.83879593225129</v>
      </c>
      <c r="AN25" s="200" t="b">
        <v>1</v>
      </c>
      <c r="AO25" s="204">
        <v>0</v>
      </c>
      <c r="AP25" s="198">
        <v>2725</v>
      </c>
      <c r="AQ25" s="210">
        <f xml:space="preserve"> -0.0000000000067919258*AP25^4 + 0.0000000945983196*AP25^3 - 0.000504025587*AP25^2 + 1.22127801*AP25-400-27</f>
        <v>697.95216128089123</v>
      </c>
      <c r="AR25" s="199">
        <f xml:space="preserve"> 0.0000182672053*AP25^2 - 0.165450041*AP25 + 1022.13715+$B$9</f>
        <v>756.93120463081254</v>
      </c>
      <c r="AS25" s="200" t="b">
        <v>1</v>
      </c>
      <c r="AT25" s="204">
        <v>0</v>
      </c>
      <c r="AU25" s="198">
        <v>2824</v>
      </c>
      <c r="AV25" s="210">
        <f xml:space="preserve"> -0.0000000000067919258*AU25^4 + 0.0000000945983196*AU25^3 - 0.000504025587*AU25^2 + 1.22127801*AU25-400.5</f>
        <v>727.30919818447774</v>
      </c>
      <c r="AW25" s="199">
        <f xml:space="preserve"> 0.0000182672053*AU25^2 - 0.165450041*AU25 + 1022.13715+$B$9</f>
        <v>750.58675807057284</v>
      </c>
      <c r="AX25" s="200" t="b">
        <v>1</v>
      </c>
      <c r="AY25" s="201">
        <v>5</v>
      </c>
      <c r="AZ25" s="198">
        <v>2825</v>
      </c>
      <c r="BA25" s="210">
        <f xml:space="preserve"> -0.0000000000067919258*AZ25^4 + 0.0000000945983196*AZ25^3 - 0.000504025587*AZ25^2 + 1.22127801*AZ25-400.5</f>
        <v>727.33511723149786</v>
      </c>
      <c r="BB25" s="205">
        <f>$B$7+TAN(RADIANS($B$8))*(AZ25-$B$6)</f>
        <v>1106.9837845052557</v>
      </c>
      <c r="BC25" s="200" t="b">
        <v>1</v>
      </c>
      <c r="BD25" s="201">
        <v>5</v>
      </c>
      <c r="BE25" s="198">
        <v>3000</v>
      </c>
      <c r="BF25" s="210">
        <f xml:space="preserve"> -0.0000000000067919258*BE25^4 + 0.0000000945983196*BE25^3 - 0.000504025587*BE25^2 + 1.22127801*BE25-400.5</f>
        <v>731.1123864000001</v>
      </c>
      <c r="BG25" s="205">
        <f>$B$7+TAN(RADIANS($B$8))*(BE25-$B$6)</f>
        <v>1116.1551458797881</v>
      </c>
      <c r="BH25" s="200" t="b">
        <v>0</v>
      </c>
      <c r="BI25" s="201">
        <v>5</v>
      </c>
      <c r="BJ25" s="198">
        <v>3500</v>
      </c>
      <c r="BK25" s="210">
        <f xml:space="preserve"> -0.0000000000067919258*BJ25^4 + 0.0000000945983196*BJ25^3 - 0.000504025587*BJ25^2 + 1.22127801*BJ25-400.5</f>
        <v>736.34918173749975</v>
      </c>
      <c r="BL25" s="205">
        <f>$B$7+TAN(RADIANS($B$8))*(BJ25-$B$6)</f>
        <v>1142.3590355213087</v>
      </c>
      <c r="BM25" s="200" t="b">
        <v>0</v>
      </c>
      <c r="BN25" s="201">
        <v>5</v>
      </c>
      <c r="BO25" s="198">
        <v>4000</v>
      </c>
      <c r="BP25" s="210">
        <f xml:space="preserve"> -0.0000000000067919258*BO25^4 + 0.0000000945983196*BO25^3 - 0.000504025587*BO25^2 + 1.22127801*BO25-400.5</f>
        <v>735.76209759999983</v>
      </c>
      <c r="BQ25" s="205">
        <f>$B$7+TAN(RADIANS($B$8))*(BO25-$B$6)</f>
        <v>1168.5629251628293</v>
      </c>
      <c r="BR25" s="200" t="b">
        <v>0</v>
      </c>
      <c r="BS25" s="201">
        <v>5</v>
      </c>
      <c r="BT25" s="198">
        <v>4550</v>
      </c>
      <c r="BU25" s="210">
        <f xml:space="preserve"> -0.0000000000067919258*BT25^4 + 0.0000000945983196*BT25^3 - 0.000504025587*BT25^2 + 1.22127801*BT25-400.5</f>
        <v>721.56872523211496</v>
      </c>
      <c r="BV25" s="205">
        <f>$B$7+TAN(RADIANS($B$8))*(BT25-$B$6)</f>
        <v>1197.3872037685019</v>
      </c>
      <c r="BW25" s="200" t="b">
        <v>1</v>
      </c>
      <c r="BX25" s="201">
        <v>5</v>
      </c>
      <c r="BY25" s="198">
        <v>4551</v>
      </c>
      <c r="BZ25" s="210">
        <f xml:space="preserve"> -0.0000000000067919258*BY25^4 + 0.0000000945983196*BY25^3 - 0.000504025587*BY25^2 + 1.22127801*BY25-400.5</f>
        <v>721.51947992984606</v>
      </c>
      <c r="CA25" s="199">
        <f xml:space="preserve"> 0.0000182672053*BY25^2 - 0.165450041*BY25 + 1022.13715+$B$9</f>
        <v>697.51708096768539</v>
      </c>
      <c r="CB25" s="200" t="b">
        <v>1</v>
      </c>
      <c r="CC25" s="201">
        <v>0</v>
      </c>
      <c r="CD25" s="207"/>
      <c r="CE25" s="210"/>
      <c r="CF25" s="210"/>
      <c r="CG25" s="190"/>
      <c r="CH25" s="191"/>
      <c r="CI25" s="208">
        <v>4800</v>
      </c>
      <c r="CJ25" s="209">
        <v>310</v>
      </c>
      <c r="CK25" s="209">
        <f xml:space="preserve"> 0.0000182672053*CI25^2 - 0.165450041*CI25 + 1022.13715+$B$9</f>
        <v>698.85336331200006</v>
      </c>
      <c r="CL25" s="211" t="b">
        <v>0</v>
      </c>
      <c r="CM25" s="212">
        <v>5</v>
      </c>
      <c r="CN25" s="192">
        <v>4801</v>
      </c>
      <c r="CO25" s="210">
        <v>310</v>
      </c>
      <c r="CP25" s="210">
        <f xml:space="preserve"> 0.0000182672053*CN25^2 - 0.165450041*CN25 + 1022.13715+$B$9-$B$11</f>
        <v>418.86329670908526</v>
      </c>
      <c r="CQ25" s="190" t="b">
        <v>0</v>
      </c>
      <c r="CR25" s="191">
        <v>5</v>
      </c>
      <c r="CS25" s="192">
        <v>5500</v>
      </c>
      <c r="CT25" s="210">
        <f>(CY25-CO25)/(CX25-CN25)*(CS25-CN25)+CO25</f>
        <v>221.71167247386762</v>
      </c>
      <c r="CU25" s="210">
        <f xml:space="preserve"> 0.0000182672053*CS25^2 - 0.165450041*CS25 + 1022.13715+$B$9-$B$11</f>
        <v>434.74488482499999</v>
      </c>
      <c r="CV25" s="190" t="b">
        <v>0</v>
      </c>
      <c r="CW25" s="191">
        <v>5</v>
      </c>
      <c r="CX25" s="192">
        <v>5949</v>
      </c>
      <c r="CY25" s="210">
        <v>165</v>
      </c>
      <c r="CZ25" s="210">
        <f xml:space="preserve"> 0.0000182672053*CX25^2 - 0.165450041*CX25 + 1022.13715+$B$9-$B$11</f>
        <v>454.36223024838534</v>
      </c>
      <c r="DA25" s="190" t="b">
        <v>0</v>
      </c>
      <c r="DB25" s="191">
        <v>5</v>
      </c>
      <c r="DC25" s="213">
        <v>5950</v>
      </c>
      <c r="DD25" s="209">
        <v>165</v>
      </c>
      <c r="DE25" s="209">
        <f xml:space="preserve"> 0.0000182672053*DC25^2 - 0.165450041*DC25 + 1022.13715+$B$9</f>
        <v>734.41414168325002</v>
      </c>
      <c r="DF25" s="211" t="b">
        <v>1</v>
      </c>
      <c r="DG25" s="212">
        <v>0</v>
      </c>
      <c r="DH25" s="207"/>
      <c r="DI25" s="209"/>
      <c r="DJ25" s="209"/>
      <c r="DK25" s="211"/>
      <c r="DL25" s="212"/>
      <c r="DM25" s="214">
        <v>6993.1696523062756</v>
      </c>
      <c r="DN25" s="195">
        <f t="shared" ref="DN25" si="9" xml:space="preserve"> -0.0000000000067919258*DM25^4 + 0.0000000945983196*DM25^3 - 0.000504025587*DM25^2 + 1.22127801*DM25</f>
        <v>4.4159787648823112E-7</v>
      </c>
      <c r="DO25" s="195">
        <f t="shared" si="3"/>
        <v>758.46405714748335</v>
      </c>
      <c r="DP25" s="196" t="b">
        <v>1</v>
      </c>
      <c r="DQ25" s="197">
        <v>0</v>
      </c>
    </row>
    <row r="26" spans="1:122" s="187" customFormat="1" x14ac:dyDescent="0.3">
      <c r="A26" s="193" t="s">
        <v>91</v>
      </c>
      <c r="B26" s="237">
        <v>0</v>
      </c>
      <c r="C26" s="209">
        <f t="shared" ref="C26" si="10" xml:space="preserve"> -0.0000000000067919258*B26^4 + 0.0000000945983196*B26^3 - 0.000504025587*B26^2 + 1.22127801*B26</f>
        <v>0</v>
      </c>
      <c r="D26" s="209">
        <f t="shared" ref="D26" si="11" xml:space="preserve"> 0.0000182672053*B26^2 - 0.165450041*B26 + 1022.13715</f>
        <v>1022.13715</v>
      </c>
      <c r="E26" s="211" t="b">
        <v>1</v>
      </c>
      <c r="F26" s="212">
        <v>6</v>
      </c>
      <c r="G26" s="213">
        <v>544.48800000000006</v>
      </c>
      <c r="H26" s="209">
        <v>0</v>
      </c>
      <c r="I26" s="209">
        <f xml:space="preserve"> 0.0000182672053*G26^2 - 0.165450041*G26 + 1022.13715+$B$9</f>
        <v>987.46721495692896</v>
      </c>
      <c r="J26" s="211" t="b">
        <v>1</v>
      </c>
      <c r="K26" s="212">
        <v>6</v>
      </c>
      <c r="L26" s="192">
        <v>1000</v>
      </c>
      <c r="M26" s="210">
        <v>0</v>
      </c>
      <c r="N26" s="210">
        <f xml:space="preserve"> 0.0000182672053*L26^2 - 0.165450041*L26 + 1022.13715+$B$9</f>
        <v>924.95431430000008</v>
      </c>
      <c r="O26" s="190" t="b">
        <v>0</v>
      </c>
      <c r="P26" s="191">
        <v>6</v>
      </c>
      <c r="Q26" s="192">
        <v>1500</v>
      </c>
      <c r="R26" s="210">
        <v>0</v>
      </c>
      <c r="S26" s="210">
        <f xml:space="preserve"> 0.0000182672053*Q26^2 - 0.165450041*Q26 + 1022.13715+$B$9</f>
        <v>865.06330042500008</v>
      </c>
      <c r="T26" s="190" t="b">
        <v>0</v>
      </c>
      <c r="U26" s="191">
        <v>6</v>
      </c>
      <c r="V26" s="192">
        <v>2000</v>
      </c>
      <c r="W26" s="210">
        <v>0</v>
      </c>
      <c r="X26" s="210">
        <f xml:space="preserve"> 0.0000182672053*V26^2 - 0.165450041*V26 + 1022.13715+$B$9</f>
        <v>814.30588920000002</v>
      </c>
      <c r="Y26" s="190" t="b">
        <v>0</v>
      </c>
      <c r="Z26" s="204">
        <v>6</v>
      </c>
      <c r="AA26" s="213">
        <v>2625</v>
      </c>
      <c r="AB26" s="209">
        <v>0</v>
      </c>
      <c r="AC26" s="209">
        <f xml:space="preserve"> 0.0000182672053*AA26^2 - 0.165450041*AA26 + 1022.13715+$B$9</f>
        <v>763.70325389531251</v>
      </c>
      <c r="AD26" s="211" t="b">
        <v>1</v>
      </c>
      <c r="AE26" s="212">
        <v>6</v>
      </c>
      <c r="AF26" s="198">
        <v>2626</v>
      </c>
      <c r="AG26" s="210">
        <f xml:space="preserve"> -0.0000000000067919258*AF26^4 + 0.0000000945983196*AF26^3 - 0.000504025587*AF26^2 + 1.22127801*AF26-400-200</f>
        <v>521.44126720548138</v>
      </c>
      <c r="AH26" s="199">
        <f xml:space="preserve"> 0.0000182672053*AF26^2 - 0.165450041*AF26 + 1022.13715+$B$9</f>
        <v>763.63372494934288</v>
      </c>
      <c r="AI26" s="200" t="b">
        <v>1</v>
      </c>
      <c r="AJ26" s="201">
        <v>6</v>
      </c>
      <c r="AK26" s="198">
        <v>2652</v>
      </c>
      <c r="AL26" s="210">
        <f xml:space="preserve"> -0.0000000000067919258*AK26^4 + 0.0000000945983196*AK26^3 - 0.000504025587*AK26^2 + 1.22127801*AK26-400-100</f>
        <v>622.43350698979702</v>
      </c>
      <c r="AM26" s="199">
        <f xml:space="preserve"> 0.0000182672053*AK26^2 - 0.165450041*AK26 + 1022.13715+$B$9</f>
        <v>761.83879593225129</v>
      </c>
      <c r="AN26" s="200" t="b">
        <v>1</v>
      </c>
      <c r="AO26" s="204">
        <v>6</v>
      </c>
      <c r="AP26" s="198">
        <v>2725</v>
      </c>
      <c r="AQ26" s="210">
        <f xml:space="preserve"> -0.0000000000067919258*AP26^4 + 0.0000000945983196*AP26^3 - 0.000504025587*AP26^2 + 1.22127801*AP26-400-27</f>
        <v>697.95216128089123</v>
      </c>
      <c r="AR26" s="199">
        <f xml:space="preserve"> 0.0000182672053*AP26^2 - 0.165450041*AP26 + 1022.13715+$B$9</f>
        <v>756.93120463081254</v>
      </c>
      <c r="AS26" s="200" t="b">
        <v>1</v>
      </c>
      <c r="AT26" s="204">
        <v>6</v>
      </c>
      <c r="AU26" s="198">
        <v>2824</v>
      </c>
      <c r="AV26" s="210">
        <f xml:space="preserve"> -0.0000000000067919258*AU26^4 + 0.0000000945983196*AU26^3 - 0.000504025587*AU26^2 + 1.22127801*AU26-400.5</f>
        <v>727.30919818447774</v>
      </c>
      <c r="AW26" s="199">
        <f xml:space="preserve"> 0.0000182672053*AU26^2 - 0.165450041*AU26 + 1022.13715+$B$9</f>
        <v>750.58675807057284</v>
      </c>
      <c r="AX26" s="200" t="b">
        <v>1</v>
      </c>
      <c r="AY26" s="191">
        <v>6</v>
      </c>
      <c r="AZ26" s="198">
        <v>2825</v>
      </c>
      <c r="BA26" s="210">
        <f xml:space="preserve"> -0.0000000000067919258*AZ26^4 + 0.0000000945983196*AZ26^3 - 0.000504025587*AZ26^2 + 1.22127801*AZ26-400.5</f>
        <v>727.33511723149786</v>
      </c>
      <c r="BB26" s="210">
        <f xml:space="preserve"> 0.0000182672053*AZ26^2 - 0.165450041*AZ26 + 1022.13715+$B$9</f>
        <v>750.52449947231253</v>
      </c>
      <c r="BC26" s="200" t="b">
        <v>1</v>
      </c>
      <c r="BD26" s="191">
        <v>6</v>
      </c>
      <c r="BE26" s="192">
        <v>3000</v>
      </c>
      <c r="BF26" s="210">
        <f xml:space="preserve"> -0.0000000000067919258*BE26^4 + 0.0000000945983196*BE26^3 - 0.000504025587*BE26^2 + 1.22127801*BE26-400.5</f>
        <v>731.1123864000001</v>
      </c>
      <c r="BG26" s="210">
        <f xml:space="preserve"> 0.0000182672053*BE26^2 - 0.165450041*BE26 + 1022.13715+$B$9</f>
        <v>740.19187469999997</v>
      </c>
      <c r="BH26" s="190" t="b">
        <v>0</v>
      </c>
      <c r="BI26" s="191">
        <v>6</v>
      </c>
      <c r="BJ26" s="192">
        <v>3500</v>
      </c>
      <c r="BK26" s="210">
        <f xml:space="preserve"> -0.0000000000067919258*BJ26^4 + 0.0000000945983196*BJ26^3 - 0.000504025587*BJ26^2 + 1.22127801*BJ26-400.5</f>
        <v>736.34918173749975</v>
      </c>
      <c r="BL26" s="210">
        <f xml:space="preserve"> 0.0000182672053*BJ26^2 - 0.165450041*BJ26 + 1022.13715+$B$9</f>
        <v>716.83527142499997</v>
      </c>
      <c r="BM26" s="190" t="b">
        <v>0</v>
      </c>
      <c r="BN26" s="191">
        <v>6</v>
      </c>
      <c r="BO26" s="192">
        <v>4000</v>
      </c>
      <c r="BP26" s="210">
        <f xml:space="preserve"> -0.0000000000067919258*BO26^4 + 0.0000000945983196*BO26^3 - 0.000504025587*BO26^2 + 1.22127801*BO26-400.5</f>
        <v>735.76209759999983</v>
      </c>
      <c r="BQ26" s="210">
        <f xml:space="preserve"> 0.0000182672053*BO26^2 - 0.165450041*BO26 + 1022.13715+$B$9</f>
        <v>702.61227080000003</v>
      </c>
      <c r="BR26" s="190" t="b">
        <v>0</v>
      </c>
      <c r="BS26" s="191">
        <v>6</v>
      </c>
      <c r="BT26" s="198">
        <v>4550</v>
      </c>
      <c r="BU26" s="210">
        <f xml:space="preserve"> -0.0000000000067919258*BT26^4 + 0.0000000945983196*BT26^3 - 0.000504025587*BT26^2 + 1.22127801*BT26-400.5</f>
        <v>721.56872523211496</v>
      </c>
      <c r="BV26" s="210">
        <f xml:space="preserve"> 0.0000182672053*BT26^2 - 0.165450041*BT26 + 1022.13715+$B$9</f>
        <v>697.51628117325004</v>
      </c>
      <c r="BW26" s="190" t="b">
        <v>1</v>
      </c>
      <c r="BX26" s="191">
        <v>6</v>
      </c>
      <c r="BY26" s="198">
        <v>4551</v>
      </c>
      <c r="BZ26" s="210">
        <f xml:space="preserve"> -0.0000000000067919258*BY26^4 + 0.0000000945983196*BY26^3 - 0.000504025587*BY26^2 + 1.22127801*BY26-400.5</f>
        <v>721.51947992984606</v>
      </c>
      <c r="CA26" s="210">
        <f xml:space="preserve"> 0.0000182672053*BY26^2 - 0.165450041*BY26 + 1022.13715+$B$9</f>
        <v>697.51708096768539</v>
      </c>
      <c r="CB26" s="190" t="b">
        <v>1</v>
      </c>
      <c r="CC26" s="191">
        <v>6</v>
      </c>
      <c r="CD26" s="207">
        <v>4552</v>
      </c>
      <c r="CE26" s="210">
        <v>0</v>
      </c>
      <c r="CF26" s="210">
        <f xml:space="preserve"> 0.0000182672053*CD26^2 - 0.165450041*CD26 + 1022.13715+$B$9</f>
        <v>697.51791729653132</v>
      </c>
      <c r="CG26" s="190" t="b">
        <v>1</v>
      </c>
      <c r="CH26" s="191">
        <v>6</v>
      </c>
      <c r="CI26" s="192">
        <v>4799</v>
      </c>
      <c r="CJ26" s="210">
        <v>0</v>
      </c>
      <c r="CK26" s="210">
        <f xml:space="preserve"> 0.0000182672053*CI26^2 - 0.165450041*CI26 + 1022.13715+$B$9</f>
        <v>698.84346644932521</v>
      </c>
      <c r="CL26" s="190" t="b">
        <v>0</v>
      </c>
      <c r="CM26" s="191">
        <v>6</v>
      </c>
      <c r="CN26" s="192">
        <v>4800</v>
      </c>
      <c r="CO26" s="210">
        <v>310</v>
      </c>
      <c r="CP26" s="210">
        <f xml:space="preserve"> 0.0000182672053*CN26^2 - 0.165450041*CN26 + 1022.13715+$B$9</f>
        <v>698.85336331200006</v>
      </c>
      <c r="CQ26" s="190" t="b">
        <v>0</v>
      </c>
      <c r="CR26" s="191">
        <v>6</v>
      </c>
      <c r="CS26" s="192">
        <v>5500</v>
      </c>
      <c r="CT26" s="210">
        <f>(CY26-CO26)/(CX26-CN26)*(CS26-CN26)+CO26</f>
        <v>221.73913043478262</v>
      </c>
      <c r="CU26" s="210">
        <f xml:space="preserve"> 0.0000182672053*CS26^2 - 0.165450041*CS26 + 1022.13715+$B$9</f>
        <v>714.74488482499999</v>
      </c>
      <c r="CV26" s="190" t="b">
        <v>0</v>
      </c>
      <c r="CW26" s="191">
        <v>6</v>
      </c>
      <c r="CX26" s="192">
        <v>5950</v>
      </c>
      <c r="CY26" s="210">
        <v>165</v>
      </c>
      <c r="CZ26" s="210">
        <f xml:space="preserve"> 0.0000182672053*CX26^2 - 0.165450041*CX26 + 1022.13715+$B$9</f>
        <v>734.41414168325002</v>
      </c>
      <c r="DA26" s="190" t="b">
        <v>0</v>
      </c>
      <c r="DB26" s="191">
        <v>6</v>
      </c>
      <c r="DC26" s="213">
        <v>5951</v>
      </c>
      <c r="DD26" s="209">
        <v>0</v>
      </c>
      <c r="DE26" s="209">
        <f xml:space="preserve"> 0.0000182672053*DC26^2 - 0.165450041*DC26 + 1022.13715+$B$9</f>
        <v>734.4660896525254</v>
      </c>
      <c r="DF26" s="211" t="b">
        <v>1</v>
      </c>
      <c r="DG26" s="212">
        <v>6</v>
      </c>
      <c r="DH26" s="207">
        <v>6454.1670000000004</v>
      </c>
      <c r="DI26" s="209">
        <v>0</v>
      </c>
      <c r="DJ26" s="209">
        <f xml:space="preserve"> 0.0000182672053*DH26^2 - 0.165450041*DH26 + 1022.13715+$B$9</f>
        <v>765.23862174598594</v>
      </c>
      <c r="DK26" s="211" t="b">
        <v>1</v>
      </c>
      <c r="DL26" s="212">
        <v>6</v>
      </c>
      <c r="DM26" s="213">
        <v>6993.1696523062756</v>
      </c>
      <c r="DN26" s="209">
        <f t="shared" si="2"/>
        <v>4.4159787648823112E-7</v>
      </c>
      <c r="DO26" s="209">
        <f t="shared" ref="DO26" si="12" xml:space="preserve"> 0.0000182672053*DM26^2 - 0.165450041*DM26 + 1022.13715</f>
        <v>758.46405714748335</v>
      </c>
      <c r="DP26" s="211" t="b">
        <v>1</v>
      </c>
      <c r="DQ26" s="212">
        <v>0</v>
      </c>
    </row>
    <row r="27" spans="1:122" s="241" customFormat="1" x14ac:dyDescent="0.3">
      <c r="A27" s="193" t="s">
        <v>82</v>
      </c>
      <c r="B27" s="237">
        <v>0</v>
      </c>
      <c r="C27" s="209">
        <f xml:space="preserve"> -0.0000000000067919258*B27^4 + 0.0000000945983196*B27^3 - 0.000504025587*B27^2 + 1.22127801*B27</f>
        <v>0</v>
      </c>
      <c r="D27" s="209">
        <f xml:space="preserve"> 0.0000182672053*B27^2 - 0.165450041*B27 + 1022.13715</f>
        <v>1022.13715</v>
      </c>
      <c r="E27" s="211" t="b">
        <v>1</v>
      </c>
      <c r="F27" s="212">
        <v>1</v>
      </c>
      <c r="G27" s="207">
        <v>544.48800000000006</v>
      </c>
      <c r="H27" s="210">
        <v>0</v>
      </c>
      <c r="I27" s="210">
        <f xml:space="preserve"> 0.0000182672053*G27^2 - 0.165450041*G27 + 1022.13715+$B$9</f>
        <v>987.46721495692896</v>
      </c>
      <c r="J27" s="190" t="b">
        <v>1</v>
      </c>
      <c r="K27" s="212">
        <v>1</v>
      </c>
      <c r="L27" s="192">
        <v>1000</v>
      </c>
      <c r="M27" s="210">
        <f>H27+352.82</f>
        <v>352.82</v>
      </c>
      <c r="N27" s="210">
        <f xml:space="preserve"> 0.0000182672053*L27^2 - 0.165450041*L27 + 1022.13715+$B$9</f>
        <v>924.95431430000008</v>
      </c>
      <c r="O27" s="190" t="b">
        <v>0</v>
      </c>
      <c r="P27" s="191">
        <v>1</v>
      </c>
      <c r="Q27" s="192">
        <v>1500</v>
      </c>
      <c r="R27" s="210">
        <f>M27+205.418</f>
        <v>558.23800000000006</v>
      </c>
      <c r="S27" s="210">
        <f xml:space="preserve"> 0.0000182672053*Q27^2 - 0.165450041*Q27 + 1022.13715+$B$9</f>
        <v>865.06330042500008</v>
      </c>
      <c r="T27" s="190" t="b">
        <v>0</v>
      </c>
      <c r="U27" s="191">
        <v>1</v>
      </c>
      <c r="V27" s="192">
        <v>2000</v>
      </c>
      <c r="W27" s="210">
        <f>R27+109.642</f>
        <v>667.88000000000011</v>
      </c>
      <c r="X27" s="210">
        <f xml:space="preserve"> 0.0000182672053*V27^2 - 0.165450041*V27 + 1022.13715+$B$9</f>
        <v>814.30588920000002</v>
      </c>
      <c r="Y27" s="190" t="b">
        <v>0</v>
      </c>
      <c r="Z27" s="191">
        <v>1</v>
      </c>
      <c r="AA27" s="192">
        <v>2625</v>
      </c>
      <c r="AB27" s="210">
        <f xml:space="preserve"> -0.0000000000067919258*AA27^4 + 0.0000000945983196*AA27^3 - 0.000504025587*AA27^2 + 1.22127801*AA27-400</f>
        <v>721.40204517749044</v>
      </c>
      <c r="AC27" s="210">
        <f xml:space="preserve"> 0.0000182672053*AA27^2 - 0.165450041*AA27 + 1022.13715+$B$9</f>
        <v>763.70325389531251</v>
      </c>
      <c r="AD27" s="190" t="b">
        <v>1</v>
      </c>
      <c r="AE27" s="191">
        <v>1</v>
      </c>
      <c r="AF27" s="238"/>
      <c r="AG27" s="239"/>
      <c r="AH27" s="239"/>
      <c r="AI27" s="239"/>
      <c r="AJ27" s="240"/>
      <c r="AK27" s="238"/>
      <c r="AL27" s="239"/>
      <c r="AM27" s="239"/>
      <c r="AN27" s="239"/>
      <c r="AO27" s="240"/>
      <c r="AP27" s="238"/>
      <c r="AQ27" s="239"/>
      <c r="AR27" s="239"/>
      <c r="AS27" s="239"/>
      <c r="AT27" s="240"/>
      <c r="AU27" s="198">
        <v>2824</v>
      </c>
      <c r="AV27" s="210">
        <f xml:space="preserve"> -0.0000000000067919258*AU27^4 + 0.0000000945983196*AU27^3 - 0.000504025587*AU27^2 + 1.22127801*AU27-400</f>
        <v>727.80919818447774</v>
      </c>
      <c r="AW27" s="210">
        <f xml:space="preserve"> 0.0000182672053*AU27^2 - 0.165450041*AU27 + 1022.13715+$B$9</f>
        <v>750.58675807057284</v>
      </c>
      <c r="AX27" s="200" t="b">
        <v>1</v>
      </c>
      <c r="AY27" s="191">
        <v>1</v>
      </c>
      <c r="AZ27" s="198">
        <v>2825</v>
      </c>
      <c r="BA27" s="210">
        <f xml:space="preserve"> -0.0000000000067919258*AZ27^4 + 0.0000000945983196*AZ27^3 - 0.000504025587*AZ27^2 + 1.22127801*AZ27-400</f>
        <v>727.83511723149786</v>
      </c>
      <c r="BB27" s="210">
        <f xml:space="preserve"> 0.0000182672053*AZ27^2 - 0.165450041*AZ27 + 1022.13715+$B$9</f>
        <v>750.52449947231253</v>
      </c>
      <c r="BC27" s="200" t="b">
        <v>1</v>
      </c>
      <c r="BD27" s="191">
        <v>1</v>
      </c>
      <c r="BE27" s="192">
        <v>3000</v>
      </c>
      <c r="BF27" s="210">
        <f xml:space="preserve"> -0.0000000000067919258*BE27^4 + 0.0000000945983196*BE27^3 - 0.000504025587*BE27^2 + 1.22127801*BE27-400</f>
        <v>731.6123864000001</v>
      </c>
      <c r="BG27" s="210">
        <f xml:space="preserve"> 0.0000182672053*BE27^2 - 0.165450041*BE27 + 1022.13715+$B$9</f>
        <v>740.19187469999997</v>
      </c>
      <c r="BH27" s="190" t="b">
        <v>0</v>
      </c>
      <c r="BI27" s="191">
        <v>1</v>
      </c>
      <c r="BJ27" s="192">
        <v>3500</v>
      </c>
      <c r="BK27" s="210">
        <f xml:space="preserve"> -0.0000000000067919258*BJ27^4 + 0.0000000945983196*BJ27^3 - 0.000504025587*BJ27^2 + 1.22127801*BJ27-400</f>
        <v>736.84918173749975</v>
      </c>
      <c r="BL27" s="210">
        <f xml:space="preserve"> 0.0000182672053*BJ27^2 - 0.165450041*BJ27 + 1022.13715+$B$9</f>
        <v>716.83527142499997</v>
      </c>
      <c r="BM27" s="190" t="b">
        <v>0</v>
      </c>
      <c r="BN27" s="191">
        <v>1</v>
      </c>
      <c r="BO27" s="192">
        <v>4000</v>
      </c>
      <c r="BP27" s="210">
        <f xml:space="preserve"> -0.0000000000067919258*BO27^4 + 0.0000000945983196*BO27^3 - 0.000504025587*BO27^2 + 1.22127801*BO27-400</f>
        <v>736.26209759999983</v>
      </c>
      <c r="BQ27" s="210">
        <f xml:space="preserve"> 0.0000182672053*BO27^2 - 0.165450041*BO27 + 1022.13715+$B$9</f>
        <v>702.61227080000003</v>
      </c>
      <c r="BR27" s="190" t="b">
        <v>0</v>
      </c>
      <c r="BS27" s="191">
        <v>1</v>
      </c>
      <c r="BT27" s="198">
        <v>4550</v>
      </c>
      <c r="BU27" s="210">
        <f xml:space="preserve"> -0.0000000000067919258*BT27^4 + 0.0000000945983196*BT27^3 - 0.000504025587*BT27^2 + 1.22127801*BT27-400</f>
        <v>722.06872523211496</v>
      </c>
      <c r="BV27" s="210">
        <f xml:space="preserve"> 0.0000182672053*BT27^2 - 0.165450041*BT27 + 1022.13715+$B$9</f>
        <v>697.51628117325004</v>
      </c>
      <c r="BW27" s="190" t="b">
        <v>1</v>
      </c>
      <c r="BX27" s="191">
        <v>1</v>
      </c>
      <c r="BY27" s="238"/>
      <c r="BZ27" s="239"/>
      <c r="CA27" s="239"/>
      <c r="CB27" s="239"/>
      <c r="CC27" s="240"/>
      <c r="CD27" s="238"/>
      <c r="CE27" s="239"/>
      <c r="CF27" s="239"/>
      <c r="CG27" s="239"/>
      <c r="CH27" s="240"/>
      <c r="CI27" s="192">
        <v>5000</v>
      </c>
      <c r="CJ27" s="210">
        <f>BU27-52.178</f>
        <v>669.89072523211496</v>
      </c>
      <c r="CK27" s="210">
        <f xml:space="preserve"> 0.0000182672053*CI27^2 - 0.165450041*CI27 + 1022.13715+$B$9</f>
        <v>701.5670775000001</v>
      </c>
      <c r="CL27" s="190" t="b">
        <v>0</v>
      </c>
      <c r="CM27" s="191">
        <v>1</v>
      </c>
      <c r="CN27" s="192">
        <v>5500</v>
      </c>
      <c r="CO27" s="210">
        <f>CJ27-135.97</f>
        <v>533.92072523211493</v>
      </c>
      <c r="CP27" s="210">
        <f xml:space="preserve"> 0.0000182672053*CN27^2 - 0.165450041*CN27 + 1022.13715+$B$9</f>
        <v>714.74488482499999</v>
      </c>
      <c r="CQ27" s="190" t="b">
        <v>0</v>
      </c>
      <c r="CR27" s="191">
        <v>1</v>
      </c>
      <c r="CS27" s="192"/>
      <c r="CT27" s="210"/>
      <c r="CU27" s="210"/>
      <c r="CV27" s="190"/>
      <c r="CW27" s="191"/>
      <c r="CX27" s="192">
        <v>6000</v>
      </c>
      <c r="CY27" s="210">
        <f>CO27-175.718</f>
        <v>358.20272523211497</v>
      </c>
      <c r="CZ27" s="210">
        <f xml:space="preserve"> 0.0000182672053*CX27^2 - 0.165450041*CX27 + 1022.13715+$B$9</f>
        <v>737.05629479999993</v>
      </c>
      <c r="DA27" s="190" t="b">
        <v>0</v>
      </c>
      <c r="DB27" s="191">
        <v>1</v>
      </c>
      <c r="DC27" s="207">
        <v>6454.1670000000004</v>
      </c>
      <c r="DD27" s="210">
        <v>0</v>
      </c>
      <c r="DE27" s="210">
        <f xml:space="preserve"> 0.0000182672053*DC27^2 - 0.165450041*DC27 + 1022.13715+$B$9</f>
        <v>765.23862174598594</v>
      </c>
      <c r="DF27" s="190" t="b">
        <v>1</v>
      </c>
      <c r="DG27" s="191">
        <v>1</v>
      </c>
      <c r="DH27" s="207">
        <v>6454.1670000000004</v>
      </c>
      <c r="DI27" s="210">
        <v>0</v>
      </c>
      <c r="DJ27" s="210">
        <f xml:space="preserve"> 0.0000182672053*DH27^2 - 0.165450041*DH27 + 1022.13715+$B$9</f>
        <v>765.23862174598594</v>
      </c>
      <c r="DK27" s="190" t="b">
        <v>1</v>
      </c>
      <c r="DL27" s="191">
        <v>1</v>
      </c>
      <c r="DM27" s="213">
        <v>6993.1696523062756</v>
      </c>
      <c r="DN27" s="209">
        <f t="shared" si="2"/>
        <v>4.4159787648823112E-7</v>
      </c>
      <c r="DO27" s="209">
        <f t="shared" si="3"/>
        <v>758.46405714748335</v>
      </c>
      <c r="DP27" s="211" t="b">
        <v>1</v>
      </c>
      <c r="DQ27" s="212">
        <v>0</v>
      </c>
    </row>
    <row r="28" spans="1:122" s="187" customFormat="1" x14ac:dyDescent="0.3">
      <c r="A28" s="193" t="s">
        <v>78</v>
      </c>
      <c r="B28" s="237">
        <v>0</v>
      </c>
      <c r="C28" s="209">
        <f t="shared" ref="C28:C32" si="13" xml:space="preserve"> -0.0000000000067919258*B28^4 + 0.0000000945983196*B28^3 - 0.000504025587*B28^2 + 1.22127801*B28</f>
        <v>0</v>
      </c>
      <c r="D28" s="209">
        <f t="shared" ref="D28:D32" si="14" xml:space="preserve"> 0.0000182672053*B28^2 - 0.165450041*B28 + 1022.13715</f>
        <v>1022.13715</v>
      </c>
      <c r="E28" s="211" t="b">
        <v>1</v>
      </c>
      <c r="F28" s="212">
        <v>2</v>
      </c>
      <c r="G28" s="192">
        <v>200</v>
      </c>
      <c r="H28" s="210">
        <f xml:space="preserve"> -0.0000000000067919258*G28^4 + 0.0000000945983196*G28^3 - 0.000504025587*G28^2 + 1.22127801*G28</f>
        <v>224.84049799552002</v>
      </c>
      <c r="I28" s="210">
        <f xml:space="preserve"> 0.0000182672053*G28^2 - 0.165450041*G28 + 1022.13715</f>
        <v>989.77783001199998</v>
      </c>
      <c r="J28" s="190" t="b">
        <v>0</v>
      </c>
      <c r="K28" s="191">
        <v>2</v>
      </c>
      <c r="L28" s="192">
        <v>400</v>
      </c>
      <c r="M28" s="210">
        <f xml:space="preserve"> -0.0000000000067919258*L28^4 + 0.0000000945983196*L28^3 - 0.000504025587*L28^2 + 1.22127801*L28</f>
        <v>413.74752923392003</v>
      </c>
      <c r="N28" s="210">
        <f xml:space="preserve"> 0.0000182672053*L28^2 - 0.165450041*L28 + 1022.13715</f>
        <v>958.87988644799998</v>
      </c>
      <c r="O28" s="190" t="b">
        <v>0</v>
      </c>
      <c r="P28" s="191">
        <v>2</v>
      </c>
      <c r="Q28" s="192">
        <v>600</v>
      </c>
      <c r="R28" s="210">
        <f xml:space="preserve"> -0.0000000000067919258*Q28^4 + 0.0000000945983196*Q28^3 - 0.000504025587*Q28^2 + 1.22127801*Q28</f>
        <v>570.87059812991993</v>
      </c>
      <c r="S28" s="210">
        <f xml:space="preserve"> 0.0000182672053*Q28^2 - 0.165450041*Q28 + 1022.13715</f>
        <v>929.44331930800001</v>
      </c>
      <c r="T28" s="190" t="b">
        <v>0</v>
      </c>
      <c r="U28" s="191">
        <v>2</v>
      </c>
      <c r="V28" s="206"/>
      <c r="W28" s="203"/>
      <c r="X28" s="203"/>
      <c r="Y28" s="203"/>
      <c r="Z28" s="204"/>
      <c r="AA28" s="192">
        <v>800</v>
      </c>
      <c r="AB28" s="210">
        <f xml:space="preserve"> -0.0000000000067919258*AA28^4 + 0.0000000945983196*AA28^3 - 0.000504025587*AA28^2 + 1.22127801*AA28</f>
        <v>700.09839914752001</v>
      </c>
      <c r="AC28" s="210">
        <f xml:space="preserve"> 0.0000182672053*AA28^2 - 0.165450041*AA28 + 1022.13715</f>
        <v>901.46812859199997</v>
      </c>
      <c r="AD28" s="190" t="b">
        <v>0</v>
      </c>
      <c r="AE28" s="191">
        <v>2</v>
      </c>
      <c r="AF28" s="192">
        <v>1000</v>
      </c>
      <c r="AG28" s="210">
        <f xml:space="preserve"> -0.0000000000067919258*AF28^4 + 0.0000000945983196*AF28^3 - 0.000504025587*AF28^2 + 1.22127801*AF28</f>
        <v>805.05881680000005</v>
      </c>
      <c r="AH28" s="210">
        <f xml:space="preserve"> 0.0000182672053*AF28^2 - 0.165450041*AF28 + 1022.13715</f>
        <v>874.95431430000008</v>
      </c>
      <c r="AI28" s="190" t="b">
        <v>0</v>
      </c>
      <c r="AJ28" s="191">
        <v>2</v>
      </c>
      <c r="AK28" s="192">
        <v>1500</v>
      </c>
      <c r="AL28" s="210">
        <f xml:space="preserve"> -0.0000000000067919258*AK28^4 + 0.0000000945983196*AK28^3 - 0.000504025587*AK28^2 + 1.22127801*AK28</f>
        <v>982.74464853749998</v>
      </c>
      <c r="AM28" s="210">
        <f xml:space="preserve"> 0.0000182672053*AK28^2 - 0.165450041*AK28 + 1022.13715</f>
        <v>815.06330042500008</v>
      </c>
      <c r="AN28" s="190" t="b">
        <v>0</v>
      </c>
      <c r="AO28" s="191">
        <v>2</v>
      </c>
      <c r="AP28" s="192">
        <v>2000</v>
      </c>
      <c r="AQ28" s="210">
        <f xml:space="preserve"> -0.0000000000067919258*AP28^4 + 0.0000000945983196*AP28^3 - 0.000504025587*AP28^2 + 1.22127801*AP28</f>
        <v>1074.569416</v>
      </c>
      <c r="AR28" s="210">
        <f xml:space="preserve"> 0.0000182672053*AP28^2 - 0.165450041*AP28 + 1022.13715</f>
        <v>764.30588920000002</v>
      </c>
      <c r="AS28" s="190" t="b">
        <v>0</v>
      </c>
      <c r="AT28" s="191">
        <v>2</v>
      </c>
      <c r="AU28" s="192">
        <v>2625</v>
      </c>
      <c r="AV28" s="210">
        <f xml:space="preserve"> -0.0000000000067919258*AU28^4 + 0.0000000945983196*AU28^3 - 0.000504025587*AU28^2 + 1.22127801*AU28</f>
        <v>1121.4020451774904</v>
      </c>
      <c r="AW28" s="210">
        <f xml:space="preserve"> 0.0000182672053*AU28^2 - 0.165450041*AU28 + 1022.13715</f>
        <v>713.70325389531251</v>
      </c>
      <c r="AX28" s="190" t="b">
        <v>0</v>
      </c>
      <c r="AY28" s="191">
        <v>2</v>
      </c>
      <c r="AZ28" s="206"/>
      <c r="BA28" s="203"/>
      <c r="BB28" s="203"/>
      <c r="BC28" s="203"/>
      <c r="BD28" s="204"/>
      <c r="BE28" s="192">
        <v>3000</v>
      </c>
      <c r="BF28" s="210">
        <f xml:space="preserve"> -0.0000000000067919258*BE28^4 + 0.0000000945983196*BE28^3 - 0.000504025587*BE28^2 + 1.22127801*BE28</f>
        <v>1131.6123864000001</v>
      </c>
      <c r="BG28" s="210">
        <f xml:space="preserve"> 0.0000182672053*BE28^2 - 0.165450041*BE28 + 1022.13715</f>
        <v>690.19187469999997</v>
      </c>
      <c r="BH28" s="190" t="b">
        <v>0</v>
      </c>
      <c r="BI28" s="191">
        <v>2</v>
      </c>
      <c r="BJ28" s="192">
        <v>3500</v>
      </c>
      <c r="BK28" s="210">
        <f xml:space="preserve"> -0.0000000000067919258*BJ28^4 + 0.0000000945983196*BJ28^3 - 0.000504025587*BJ28^2 + 1.22127801*BJ28</f>
        <v>1136.8491817374997</v>
      </c>
      <c r="BL28" s="210">
        <f xml:space="preserve"> 0.0000182672053*BJ28^2 - 0.165450041*BJ28 + 1022.13715</f>
        <v>666.83527142499997</v>
      </c>
      <c r="BM28" s="190" t="b">
        <v>0</v>
      </c>
      <c r="BN28" s="191">
        <v>2</v>
      </c>
      <c r="BO28" s="192">
        <v>4000</v>
      </c>
      <c r="BP28" s="210">
        <f xml:space="preserve"> -0.0000000000067919258*BO28^4 + 0.0000000945983196*BO28^3 - 0.000504025587*BO28^2 + 1.22127801*BO28</f>
        <v>1136.2620975999998</v>
      </c>
      <c r="BQ28" s="210">
        <f xml:space="preserve"> 0.0000182672053*BO28^2 - 0.165450041*BO28 + 1022.13715</f>
        <v>652.61227080000003</v>
      </c>
      <c r="BR28" s="190" t="b">
        <v>0</v>
      </c>
      <c r="BS28" s="191">
        <v>2</v>
      </c>
      <c r="BT28" s="198">
        <v>4550</v>
      </c>
      <c r="BU28" s="210">
        <f xml:space="preserve"> -0.0000000000067919258*BT28^4 + 0.0000000945983196*BT28^3 - 0.000504025587*BT28^2 + 1.22127801*BT28</f>
        <v>1122.068725232115</v>
      </c>
      <c r="BV28" s="210">
        <f xml:space="preserve"> 0.0000182672053*BT28^2 - 0.165450041*BT28 + 1022.13715</f>
        <v>647.51628117325004</v>
      </c>
      <c r="BW28" s="190" t="b">
        <v>0</v>
      </c>
      <c r="BX28" s="191">
        <v>2</v>
      </c>
      <c r="BY28" s="192">
        <v>5000</v>
      </c>
      <c r="BZ28" s="210">
        <f xml:space="preserve"> -0.0000000000067919258*BY28^4 + 0.0000000945983196*BY28^3 - 0.000504025587*BY28^2 + 1.22127801*BY28</f>
        <v>1085.5866999999998</v>
      </c>
      <c r="CA28" s="210">
        <f xml:space="preserve"> 0.0000182672053*BY28^2 - 0.165450041*BY28 + 1022.13715</f>
        <v>651.5670775000001</v>
      </c>
      <c r="CB28" s="190" t="b">
        <v>0</v>
      </c>
      <c r="CC28" s="191">
        <v>2</v>
      </c>
      <c r="CD28" s="192">
        <v>6000</v>
      </c>
      <c r="CE28" s="210">
        <f xml:space="preserve"> -0.0000000000067919258*CD28^4 + 0.0000000945983196*CD28^3 - 0.000504025587*CD28^2 + 1.22127801*CD28</f>
        <v>813.64812479999819</v>
      </c>
      <c r="CF28" s="210">
        <f xml:space="preserve"> 0.0000182672053*CD28^2 - 0.165450041*CD28 + 1022.13715</f>
        <v>687.05629479999993</v>
      </c>
      <c r="CG28" s="190" t="b">
        <v>0</v>
      </c>
      <c r="CH28" s="191">
        <v>2</v>
      </c>
      <c r="CI28" s="192">
        <v>6200</v>
      </c>
      <c r="CJ28" s="210">
        <f xml:space="preserve"> -0.0000000000067919258*CI28^4 + 0.0000000945983196*CI28^3 - 0.000504025587*CI28^2 + 1.22127801*CI28</f>
        <v>706.63064056191888</v>
      </c>
      <c r="CK28" s="210">
        <f xml:space="preserve"> 0.0000182672053*CI28^2 - 0.165450041*CI28 + 1022.13715</f>
        <v>698.53826753200008</v>
      </c>
      <c r="CL28" s="190" t="b">
        <v>0</v>
      </c>
      <c r="CM28" s="191">
        <v>2</v>
      </c>
      <c r="CN28" s="192">
        <v>6400</v>
      </c>
      <c r="CO28" s="210">
        <f xml:space="preserve"> -0.0000000000067919258*CN28^4 + 0.0000000945983196*CN28^3 - 0.000504025587*CN28^2 + 1.22127801*CN28</f>
        <v>574.71249344511853</v>
      </c>
      <c r="CP28" s="210">
        <f xml:space="preserve"> 0.0000182672053*CN28^2 - 0.165450041*CN28 + 1022.13715</f>
        <v>711.48161668799992</v>
      </c>
      <c r="CQ28" s="190" t="b">
        <v>0</v>
      </c>
      <c r="CR28" s="191">
        <v>2</v>
      </c>
      <c r="CS28" s="192"/>
      <c r="CT28" s="210"/>
      <c r="CU28" s="210"/>
      <c r="CV28" s="190"/>
      <c r="CW28" s="191"/>
      <c r="CX28" s="192">
        <v>6600</v>
      </c>
      <c r="CY28" s="210">
        <f xml:space="preserve"> -0.0000000000067919258*CX28^4 + 0.0000000945983196*CX28^3 - 0.000504025587*CX28^2 + 1.22127801*CX28</f>
        <v>414.21888934272374</v>
      </c>
      <c r="CZ28" s="210">
        <f xml:space="preserve"> 0.0000182672053*CX28^2 - 0.165450041*CX28 + 1022.13715</f>
        <v>725.88634226799991</v>
      </c>
      <c r="DA28" s="190" t="b">
        <v>0</v>
      </c>
      <c r="DB28" s="191">
        <v>2</v>
      </c>
      <c r="DC28" s="192">
        <v>6800</v>
      </c>
      <c r="DD28" s="210">
        <f xml:space="preserve"> -0.0000000000067919258*DC28^4 + 0.0000000945983196*DC28^3 - 0.000504025587*DC28^2 + 1.22127801*DC28</f>
        <v>221.21422419712326</v>
      </c>
      <c r="DE28" s="210">
        <f xml:space="preserve"> 0.0000182672053*DC28^2 - 0.165450041*DC28 + 1022.13715</f>
        <v>741.75244427200005</v>
      </c>
      <c r="DF28" s="190" t="b">
        <v>0</v>
      </c>
      <c r="DG28" s="191">
        <v>2</v>
      </c>
      <c r="DH28" s="192"/>
      <c r="DI28" s="210"/>
      <c r="DJ28" s="210"/>
      <c r="DK28" s="190"/>
      <c r="DL28" s="191"/>
      <c r="DM28" s="213">
        <v>6993.1696523062756</v>
      </c>
      <c r="DN28" s="209">
        <f t="shared" si="2"/>
        <v>4.4159787648823112E-7</v>
      </c>
      <c r="DO28" s="209">
        <f t="shared" si="3"/>
        <v>758.46405714748335</v>
      </c>
      <c r="DP28" s="211" t="b">
        <v>1</v>
      </c>
      <c r="DQ28" s="212">
        <v>0</v>
      </c>
    </row>
    <row r="29" spans="1:122" s="187" customFormat="1" x14ac:dyDescent="0.3">
      <c r="A29" s="193" t="s">
        <v>0</v>
      </c>
      <c r="B29" s="237">
        <f>B28</f>
        <v>0</v>
      </c>
      <c r="C29" s="211">
        <f t="shared" si="13"/>
        <v>0</v>
      </c>
      <c r="D29" s="209">
        <f t="shared" si="14"/>
        <v>1022.13715</v>
      </c>
      <c r="E29" s="211" t="b">
        <f>E28</f>
        <v>1</v>
      </c>
      <c r="F29" s="212">
        <v>4</v>
      </c>
      <c r="G29" s="207">
        <v>150.26461315744879</v>
      </c>
      <c r="H29" s="210">
        <f xml:space="preserve"> -1.96836918E-12*G29^4 + 0.0000000223263403*G29^3 - 0.00015881897*G29^2 + 0.678982126*G29 - 98.516196</f>
        <v>-5.07773295268521E-4</v>
      </c>
      <c r="I29" s="210">
        <f xml:space="preserve"> 0.0000325080672*G29^2 - 0.237650785*G29 + 321.043886</f>
        <v>286.0673971323211</v>
      </c>
      <c r="J29" s="190" t="b">
        <v>1</v>
      </c>
      <c r="K29" s="191">
        <v>4</v>
      </c>
      <c r="L29" s="192">
        <v>200</v>
      </c>
      <c r="M29" s="210">
        <f xml:space="preserve"> -1.96836918E-12*L29^4 + 0.0000000223263403*L29^3 - 0.00015881897*L29^2 + 0.678982126*L29 - 98.516196</f>
        <v>31.10293173171199</v>
      </c>
      <c r="N29" s="210">
        <f xml:space="preserve"> 0.0000325080672*L29^2 - 0.237650785*L29 + 321.043886</f>
        <v>274.81405168800001</v>
      </c>
      <c r="O29" s="190" t="b">
        <v>0</v>
      </c>
      <c r="P29" s="191">
        <v>4</v>
      </c>
      <c r="Q29" s="192">
        <v>400</v>
      </c>
      <c r="R29" s="210">
        <f xml:space="preserve"> -1.96836918E-12*Q29^4 + 0.0000000223263403*Q29^3 - 0.00015881897*Q29^2 + 0.678982126*Q29 - 98.516196</f>
        <v>149.04411472819197</v>
      </c>
      <c r="S29" s="210">
        <f xml:space="preserve"> 0.0000325080672*Q29^2 - 0.237650785*Q29 + 321.043886</f>
        <v>231.18486275199999</v>
      </c>
      <c r="T29" s="190" t="b">
        <v>0</v>
      </c>
      <c r="U29" s="191">
        <v>4</v>
      </c>
      <c r="V29" s="192">
        <v>600</v>
      </c>
      <c r="W29" s="210">
        <f xml:space="preserve"> -1.96836918E-12*V29^4 + 0.0000000223263403*V29^3 - 0.00015881897*V29^2 + 0.678982126*V29 - 98.516196</f>
        <v>256.26563925907197</v>
      </c>
      <c r="X29" s="210">
        <f xml:space="preserve"> 0.0000325080672*V29^2 - 0.237650785*V29 + 321.043886</f>
        <v>190.15631919199998</v>
      </c>
      <c r="Y29" s="190" t="b">
        <v>0</v>
      </c>
      <c r="Z29" s="191">
        <v>4</v>
      </c>
      <c r="AA29" s="192">
        <v>800</v>
      </c>
      <c r="AB29" s="210">
        <f xml:space="preserve"> -1.96836918E-12*AA29^4 + 0.0000000223263403*AA29^3 - 0.00015881897*AA29^2 + 0.678982126*AA29 - 98.516196</f>
        <v>353.65020621747198</v>
      </c>
      <c r="AC29" s="210">
        <f xml:space="preserve"> 0.0000325080672*AA29^2 - 0.237650785*AA29 + 321.043886</f>
        <v>151.72842100799997</v>
      </c>
      <c r="AD29" s="190" t="b">
        <v>0</v>
      </c>
      <c r="AE29" s="191">
        <v>4</v>
      </c>
      <c r="AF29" s="192">
        <v>1000</v>
      </c>
      <c r="AG29" s="210">
        <f xml:space="preserve"> -1.96836918E-12*AF29^4 + 0.0000000223263403*AF29^3 - 0.00015881897*AF29^2 + 0.678982126*AF29 - 98.516196</f>
        <v>442.00493111999998</v>
      </c>
      <c r="AH29" s="210">
        <f xml:space="preserve"> 0.0000325080672*AF29^2 - 0.237650785*AF29 + 321.043886</f>
        <v>115.90116819999997</v>
      </c>
      <c r="AI29" s="190" t="b">
        <v>0</v>
      </c>
      <c r="AJ29" s="191">
        <v>4</v>
      </c>
      <c r="AK29" s="192">
        <v>1500</v>
      </c>
      <c r="AL29" s="210">
        <f xml:space="preserve"> -1.96836918E-12*AK29^4 + 0.0000000223263403*AK29^3 - 0.00015881897*AK29^2 + 0.678982126*AK29 - 98.516196</f>
        <v>628.00084003874986</v>
      </c>
      <c r="AM29" s="210">
        <f xml:space="preserve"> 0.0000325080672*AK29^2 - 0.237650785*AK29 + 321.043886</f>
        <v>37.710859699999958</v>
      </c>
      <c r="AN29" s="190" t="b">
        <v>0</v>
      </c>
      <c r="AO29" s="191">
        <v>4</v>
      </c>
      <c r="AP29" s="192">
        <v>2000</v>
      </c>
      <c r="AQ29" s="210">
        <f xml:space="preserve"> -1.96836918E-12*AP29^4 + 0.0000000223263403*AP29^3 - 0.00015881897*AP29^2 + 0.678982126*AP29 - 98.516196</f>
        <v>771.28899151999985</v>
      </c>
      <c r="AR29" s="210">
        <f xml:space="preserve"> 0.0000325080672*AP29^2 - 0.237650785*AP29 + 321.043886</f>
        <v>-24.225415200000043</v>
      </c>
      <c r="AS29" s="190" t="b">
        <v>0</v>
      </c>
      <c r="AT29" s="191">
        <v>4</v>
      </c>
      <c r="AU29" s="192">
        <v>2625</v>
      </c>
      <c r="AV29" s="210">
        <f xml:space="preserve"> -1.96836918E-12*AU29^4 + 0.0000000223263403*AU29^3 - 0.00015881897*AU29^2 + 0.678982126*AU29 - 98.516196</f>
        <v>899.82674909834464</v>
      </c>
      <c r="AW29" s="210">
        <f xml:space="preserve"> 0.0000325080672*AU29^2 - 0.237650785*AU29 + 321.043886</f>
        <v>-78.788524074999998</v>
      </c>
      <c r="AX29" s="190" t="b">
        <v>0</v>
      </c>
      <c r="AY29" s="191">
        <v>4</v>
      </c>
      <c r="AZ29" s="206"/>
      <c r="BA29" s="203"/>
      <c r="BB29" s="203"/>
      <c r="BC29" s="203"/>
      <c r="BD29" s="204"/>
      <c r="BE29" s="192">
        <v>3000</v>
      </c>
      <c r="BF29" s="210">
        <f xml:space="preserve"> -1.96836918E-12*BE29^4 + 0.0000000223263403*BE29^3 - 0.00015881897*BE29^2 + 0.678982126*BE29 - 98.516196</f>
        <v>952.43273651999993</v>
      </c>
      <c r="BG29" s="210">
        <f xml:space="preserve"> 0.0000325080672*BE29^2 - 0.237650785*BE29 + 321.043886</f>
        <v>-99.335864200000003</v>
      </c>
      <c r="BH29" s="190" t="b">
        <v>0</v>
      </c>
      <c r="BI29" s="191">
        <v>4</v>
      </c>
      <c r="BJ29" s="192">
        <v>3500</v>
      </c>
      <c r="BK29" s="210">
        <f xml:space="preserve"> -1.96836918E-12*BJ29^4 + 0.0000000223263403*BJ29^3 - 0.00015881897*BJ29^2 + 0.678982126*BJ29 - 98.516196</f>
        <v>994.25230278874983</v>
      </c>
      <c r="BL29" s="210">
        <f xml:space="preserve"> 0.0000325080672*BJ29^2 - 0.237650785*BJ29 + 321.043886</f>
        <v>-112.51003830000002</v>
      </c>
      <c r="BM29" s="190" t="b">
        <v>0</v>
      </c>
      <c r="BN29" s="191">
        <v>4</v>
      </c>
      <c r="BO29" s="192">
        <v>4000</v>
      </c>
      <c r="BP29" s="210">
        <f xml:space="preserve"> -1.96836918E-12*BO29^4 + 0.0000000223263403*BO29^3 - 0.00015881897*BO29^2 + 0.678982126*BO29 - 98.516196</f>
        <v>1001.2920571199998</v>
      </c>
      <c r="BQ29" s="210">
        <f xml:space="preserve"> 0.0000325080672*BO29^2 - 0.237650785*BO29 + 321.043886</f>
        <v>-109.43017880000008</v>
      </c>
      <c r="BR29" s="190" t="b">
        <v>0</v>
      </c>
      <c r="BS29" s="191">
        <v>4</v>
      </c>
      <c r="BT29" s="198">
        <v>4550</v>
      </c>
      <c r="BU29" s="210">
        <f xml:space="preserve"> -1.96836918E-12*BT29^4 + 0.0000000223263403*BT29^3 - 0.00015881897*BT29^2 + 0.678982126*BT29 - 98.516196</f>
        <v>962.33282570077495</v>
      </c>
      <c r="BV29" s="210">
        <f xml:space="preserve"> 0.0000325080672*BT29^2 - 0.237650785*BT29 + 321.043886</f>
        <v>-87.268924542000093</v>
      </c>
      <c r="BW29" s="190" t="b">
        <v>0</v>
      </c>
      <c r="BX29" s="191">
        <v>4</v>
      </c>
      <c r="BY29" s="192">
        <v>5000</v>
      </c>
      <c r="BZ29" s="210">
        <f xml:space="preserve"> -1.96836918E-12*BY29^4 + 0.0000000223263403*BY29^3 - 0.00015881897*BY29^2 + 0.678982126*BY29 - 98.516196</f>
        <v>886.48198400000001</v>
      </c>
      <c r="CA29" s="210">
        <f xml:space="preserve"> 0.0000325080672*BY29^2 - 0.237650785*BY29 + 321.043886</f>
        <v>-54.508358999999984</v>
      </c>
      <c r="CB29" s="190" t="b">
        <v>0</v>
      </c>
      <c r="CC29" s="191">
        <v>4</v>
      </c>
      <c r="CD29" s="192">
        <v>6000</v>
      </c>
      <c r="CE29" s="210">
        <f xml:space="preserve"> -1.96836918E-12*CD29^4 + 0.0000000223263403*CD29^3 - 0.00015881897*CD29^2 + 0.678982126*CD29 - 98.516196</f>
        <v>529.3766875199999</v>
      </c>
      <c r="CF29" s="210">
        <f xml:space="preserve"> 0.0000325080672*CD29^2 - 0.237650785*CD29 + 321.043886</f>
        <v>65.429595200000051</v>
      </c>
      <c r="CG29" s="190" t="b">
        <v>0</v>
      </c>
      <c r="CH29" s="191">
        <v>4</v>
      </c>
      <c r="CI29" s="192">
        <v>6200</v>
      </c>
      <c r="CJ29" s="210">
        <f xml:space="preserve"> -1.96836918E-12*CI29^4 + 0.0000000223263403*CI29^3 - 0.00015881897*CI29^2 + 0.678982126*CI29 - 98.516196</f>
        <v>418.6353718459514</v>
      </c>
      <c r="CK29" s="210">
        <f xml:space="preserve"> 0.0000325080672*CI29^2 - 0.237650785*CI29 + 321.043886</f>
        <v>97.219122168000069</v>
      </c>
      <c r="CL29" s="190" t="b">
        <v>0</v>
      </c>
      <c r="CM29" s="191">
        <v>4</v>
      </c>
      <c r="CN29" s="192">
        <v>6400</v>
      </c>
      <c r="CO29" s="210">
        <f xml:space="preserve"> -1.96836918E-12*CN29^4 + 0.0000000223263403*CN29^3 - 0.00015881897*CN29^2 + 0.678982126*CN29 - 98.516196</f>
        <v>292.08506074291023</v>
      </c>
      <c r="CP29" s="210">
        <f xml:space="preserve"> 0.0000325080672*CN29^2 - 0.237650785*CN29 + 321.043886</f>
        <v>131.60929451199996</v>
      </c>
      <c r="CQ29" s="190" t="b">
        <v>0</v>
      </c>
      <c r="CR29" s="191">
        <v>4</v>
      </c>
      <c r="CS29" s="192"/>
      <c r="CT29" s="210"/>
      <c r="CU29" s="210"/>
      <c r="CV29" s="190"/>
      <c r="CW29" s="191"/>
      <c r="CX29" s="192">
        <v>6600</v>
      </c>
      <c r="CY29" s="210">
        <f xml:space="preserve"> -1.96836918E-12*CX29^4 + 0.0000000223263403*CX29^3 - 0.00015881897*CX29^2 + 0.678982126*CX29 - 98.516196</f>
        <v>148.41647918515133</v>
      </c>
      <c r="CZ29" s="210">
        <f xml:space="preserve"> 0.0000325080672*CX29^2 - 0.237650785*CX29 + 321.043886</f>
        <v>168.60011223199996</v>
      </c>
      <c r="DA29" s="190" t="b">
        <v>0</v>
      </c>
      <c r="DB29" s="191">
        <v>4</v>
      </c>
      <c r="DC29" s="207">
        <v>6783.9217119189834</v>
      </c>
      <c r="DD29" s="210">
        <f xml:space="preserve"> -1.96836918E-12*DC29^4 + 0.0000000223263403*DC29^3 - 0.00015881897*DC29^2 + 0.678982126*DC29 - 98.516196</f>
        <v>2.2616363537508732E-7</v>
      </c>
      <c r="DE29" s="210">
        <f xml:space="preserve"> 0.0000325080672*DC29^2 - 0.237650785*DC29 + 321.043886</f>
        <v>204.91262947234833</v>
      </c>
      <c r="DF29" s="190" t="b">
        <v>1</v>
      </c>
      <c r="DG29" s="191">
        <v>4</v>
      </c>
      <c r="DH29" s="207"/>
      <c r="DI29" s="210"/>
      <c r="DJ29" s="210"/>
      <c r="DK29" s="190"/>
      <c r="DL29" s="191"/>
      <c r="DM29" s="213">
        <v>6993.1696523062756</v>
      </c>
      <c r="DN29" s="209">
        <f t="shared" si="2"/>
        <v>4.4159787648823112E-7</v>
      </c>
      <c r="DO29" s="209">
        <f t="shared" si="3"/>
        <v>758.46405714748335</v>
      </c>
      <c r="DP29" s="211" t="b">
        <v>1</v>
      </c>
      <c r="DQ29" s="212">
        <v>0</v>
      </c>
    </row>
    <row r="30" spans="1:122" s="187" customFormat="1" x14ac:dyDescent="0.3">
      <c r="A30" s="193" t="s">
        <v>79</v>
      </c>
      <c r="B30" s="237">
        <v>0</v>
      </c>
      <c r="C30" s="209">
        <f t="shared" si="13"/>
        <v>0</v>
      </c>
      <c r="D30" s="209">
        <f t="shared" si="14"/>
        <v>1022.13715</v>
      </c>
      <c r="E30" s="211" t="b">
        <v>1</v>
      </c>
      <c r="F30" s="212">
        <v>0</v>
      </c>
      <c r="G30" s="213">
        <f>G29</f>
        <v>150.26461315744879</v>
      </c>
      <c r="H30" s="209">
        <f>H29</f>
        <v>-5.07773295268521E-4</v>
      </c>
      <c r="I30" s="209">
        <f>I29</f>
        <v>286.0673971323211</v>
      </c>
      <c r="J30" s="211" t="b">
        <f>J29</f>
        <v>1</v>
      </c>
      <c r="K30" s="212">
        <v>5</v>
      </c>
      <c r="L30" s="192">
        <v>200</v>
      </c>
      <c r="M30" s="210">
        <v>0</v>
      </c>
      <c r="N30" s="210">
        <f>I30-168.503</f>
        <v>117.56439713232112</v>
      </c>
      <c r="O30" s="190" t="b">
        <v>0</v>
      </c>
      <c r="P30" s="191">
        <v>5</v>
      </c>
      <c r="Q30" s="192">
        <v>400</v>
      </c>
      <c r="R30" s="210">
        <v>0</v>
      </c>
      <c r="S30" s="210">
        <f>N30-325.831</f>
        <v>-208.2666028676789</v>
      </c>
      <c r="T30" s="190" t="b">
        <v>0</v>
      </c>
      <c r="U30" s="191">
        <v>5</v>
      </c>
      <c r="V30" s="192">
        <v>600</v>
      </c>
      <c r="W30" s="210">
        <v>0</v>
      </c>
      <c r="X30" s="210">
        <f>S30-159.632</f>
        <v>-367.8986028676789</v>
      </c>
      <c r="Y30" s="190" t="b">
        <v>0</v>
      </c>
      <c r="Z30" s="191">
        <v>5</v>
      </c>
      <c r="AA30" s="207">
        <v>804</v>
      </c>
      <c r="AB30" s="210">
        <f xml:space="preserve"> -8.20168948E-16*AA30^5 + 0.0000000000135889885*AA30^4 - 0.0000000840631515*AA30^3 + 0.000206462105*AA30^2 - 0.0717799351*AA30 - 37.5476442</f>
        <v>-8.4806863875016347E-2</v>
      </c>
      <c r="AC30" s="210">
        <f xml:space="preserve"> -0.0536796537*AA30 - 386.148723</f>
        <v>-429.30716457480003</v>
      </c>
      <c r="AD30" s="190" t="b">
        <v>1</v>
      </c>
      <c r="AE30" s="204">
        <v>5</v>
      </c>
      <c r="AF30" s="207">
        <v>805</v>
      </c>
      <c r="AG30" s="210">
        <f xml:space="preserve"> -8.20168948E-16*AF30^5 + 0.0000000000135889885*AF30^4 - 0.0000000840631515*AF30^3 + 0.000206462105*AF30^2 - 0.0717799351*AF30 - 37.5476442</f>
        <v>3.8973305843917672E-2</v>
      </c>
      <c r="AH30" s="210">
        <f xml:space="preserve"> -0.0536796537*AF30- 309.948723</f>
        <v>-353.16084422849997</v>
      </c>
      <c r="AI30" s="190" t="b">
        <v>1</v>
      </c>
      <c r="AJ30" s="191">
        <v>5</v>
      </c>
      <c r="AK30" s="192">
        <v>1500</v>
      </c>
      <c r="AL30" s="210">
        <f xml:space="preserve"> -8.20168948E-16*AK30^5 + 0.0000000000135889885*AK30^4 - 0.0000000840631515*AK30^3 + 0.000206462105*AK30^2 - 0.0717799351*AK30 - 37.5476442</f>
        <v>98.175149419874941</v>
      </c>
      <c r="AM30" s="210">
        <f xml:space="preserve"> -0.0536796537*AK30- 309.948723</f>
        <v>-390.46820355</v>
      </c>
      <c r="AN30" s="190" t="b">
        <v>0</v>
      </c>
      <c r="AO30" s="191">
        <v>5</v>
      </c>
      <c r="AP30" s="192">
        <v>2000</v>
      </c>
      <c r="AQ30" s="210">
        <f xml:space="preserve"> -8.20168948E-16*AP30^5 + 0.0000000000135889885*AP30^4 - 0.0000000840631515*AP30^3 + 0.000206462105*AP30^2 - 0.0717799351*AP30 - 37.5476442</f>
        <v>163.41410326399989</v>
      </c>
      <c r="AR30" s="210">
        <f xml:space="preserve"> -0.0536796537*AP30- 309.948723</f>
        <v>-417.30803040000001</v>
      </c>
      <c r="AS30" s="190" t="b">
        <v>0</v>
      </c>
      <c r="AT30" s="191">
        <v>5</v>
      </c>
      <c r="AU30" s="192">
        <v>2625</v>
      </c>
      <c r="AV30" s="210">
        <f xml:space="preserve"> -8.20168948E-16*AU30^5 + 0.0000000000135889885*AU30^4 - 0.0000000840631515*AU30^3 + 0.000206462105*AU30^2 - 0.0717799351*AU30 - 37.5476442</f>
        <v>219.14944829861602</v>
      </c>
      <c r="AW30" s="210">
        <f xml:space="preserve"> -0.0536796537*AU30- 309.948723</f>
        <v>-450.85781396250002</v>
      </c>
      <c r="AX30" s="190" t="b">
        <v>0</v>
      </c>
      <c r="AY30" s="191">
        <v>5</v>
      </c>
      <c r="AZ30" s="206"/>
      <c r="BA30" s="203"/>
      <c r="BB30" s="203"/>
      <c r="BC30" s="203"/>
      <c r="BD30" s="204"/>
      <c r="BE30" s="192">
        <v>3000</v>
      </c>
      <c r="BF30" s="210">
        <f xml:space="preserve"> -8.20168948E-16*BE30^5 + 0.0000000000135889885*BE30^4 - 0.0000000840631515*BE30^3 + 0.000206462105*BE30^2 - 0.0717799351*BE30 - 37.5476442</f>
        <v>236.97341913599965</v>
      </c>
      <c r="BG30" s="210">
        <f xml:space="preserve"> -0.0536796537*BE30- 309.948723</f>
        <v>-470.98768410000002</v>
      </c>
      <c r="BH30" s="190" t="b">
        <v>0</v>
      </c>
      <c r="BI30" s="191">
        <v>5</v>
      </c>
      <c r="BJ30" s="192">
        <v>3500</v>
      </c>
      <c r="BK30" s="210">
        <f xml:space="preserve"> -8.20168948E-16*BJ30^5 + 0.0000000000135889885*BJ30^4 - 0.0000000840631515*BJ30^3 + 0.000206462105*BJ30^2 - 0.0717799351*BJ30 - 37.5476442</f>
        <v>244.60522576137478</v>
      </c>
      <c r="BL30" s="210">
        <f xml:space="preserve"> -0.0536796537*BJ30- 309.948723</f>
        <v>-497.82751094999998</v>
      </c>
      <c r="BM30" s="190" t="b">
        <v>0</v>
      </c>
      <c r="BN30" s="191">
        <v>5</v>
      </c>
      <c r="BO30" s="192">
        <v>4000</v>
      </c>
      <c r="BP30" s="210">
        <f xml:space="preserve"> -8.20168948E-16*BO30^5 + 0.0000000000135889885*BO30^4 - 0.0000000840631515*BO30^3 + 0.000206462105*BO30^2 - 0.0717799351*BO30 - 37.5476442</f>
        <v>237.61265264799917</v>
      </c>
      <c r="BQ30" s="210">
        <f xml:space="preserve"> -0.0536796537*BO30- 309.948723</f>
        <v>-524.66733780000004</v>
      </c>
      <c r="BR30" s="190" t="b">
        <v>0</v>
      </c>
      <c r="BS30" s="191">
        <v>5</v>
      </c>
      <c r="BT30" s="198">
        <v>4550</v>
      </c>
      <c r="BU30" s="210">
        <f xml:space="preserve"> -8.20168948E-16*BT30^5 + 0.0000000000135889885*BT30^4 - 0.0000000840631515*BT30^3 + 0.000206462105*BT30^2 - 0.0717799351*BT30 - 37.5476442</f>
        <v>216.43162769745706</v>
      </c>
      <c r="BV30" s="210">
        <f xml:space="preserve"> -0.0536796537*BT30- 309.948723</f>
        <v>-554.19114733499998</v>
      </c>
      <c r="BW30" s="190" t="b">
        <v>0</v>
      </c>
      <c r="BX30" s="191">
        <v>5</v>
      </c>
      <c r="BY30" s="192">
        <v>5000</v>
      </c>
      <c r="BZ30" s="210">
        <f xml:space="preserve"> -8.20168948E-16*BY30^5 + 0.0000000000135889885*BY30^4 - 0.0000000840631515*BY30^3 + 0.000206462105*BY30^2 - 0.0717799351*BY30 - 37.5476442</f>
        <v>187.30121779999874</v>
      </c>
      <c r="CA30" s="210">
        <f xml:space="preserve"> -0.0536796537*BY30- 309.948723</f>
        <v>-578.34699150000006</v>
      </c>
      <c r="CB30" s="190" t="b">
        <v>0</v>
      </c>
      <c r="CC30" s="191">
        <v>5</v>
      </c>
      <c r="CD30" s="192">
        <v>6000</v>
      </c>
      <c r="CE30" s="210">
        <f xml:space="preserve"> -8.20168948E-16*CD30^5 + 0.0000000000135889885*CD30^4 - 0.0000000840631515*CD30^3 + 0.000206462105*CD30^2 - 0.0717799351*CD30 - 37.5476442</f>
        <v>40.463157551995302</v>
      </c>
      <c r="CF30" s="210">
        <f xml:space="preserve"> -0.0536796537*CD30- 309.948723</f>
        <v>-632.02664520000008</v>
      </c>
      <c r="CG30" s="190" t="b">
        <v>0</v>
      </c>
      <c r="CH30" s="191">
        <v>5</v>
      </c>
      <c r="CI30" s="207">
        <v>6150</v>
      </c>
      <c r="CJ30" s="210">
        <f xml:space="preserve"> -8.20168948E-16*CI30^5 + 0.0000000000135889885*CI30^4 - 0.0000000840631515*CI30^3 + 0.000206462105*CI30^2 - 0.0717799351*CI30 - 37.5476442</f>
        <v>3.0538861518472515E-2</v>
      </c>
      <c r="CK30" s="210">
        <f xml:space="preserve"> -0.0536796537*CI30- 309.948723</f>
        <v>-640.07859325499999</v>
      </c>
      <c r="CL30" s="190" t="b">
        <v>1</v>
      </c>
      <c r="CM30" s="191">
        <v>5</v>
      </c>
      <c r="CN30" s="207">
        <v>6151</v>
      </c>
      <c r="CO30" s="210">
        <f xml:space="preserve"> -8.20168948E-16*CN30^5 + 0.0000000000135889885*CN30^4 - 0.0000000840631515*CN30^3 + 0.000206462105*CN30^2 - 0.0717799351*CN30 - 37.5476442</f>
        <v>-0.2631398322426648</v>
      </c>
      <c r="CP30" s="210">
        <f xml:space="preserve"> -0.0536796537*CN30 - 386.148723</f>
        <v>-716.33227290870002</v>
      </c>
      <c r="CQ30" s="190" t="b">
        <v>1</v>
      </c>
      <c r="CR30" s="204">
        <v>5</v>
      </c>
      <c r="CS30" s="207"/>
      <c r="CT30" s="210"/>
      <c r="CU30" s="210"/>
      <c r="CV30" s="190"/>
      <c r="CW30" s="204"/>
      <c r="CX30" s="207">
        <v>6434.8019999999997</v>
      </c>
      <c r="CY30" s="210">
        <v>0</v>
      </c>
      <c r="CZ30" s="210">
        <v>-716.28430667598502</v>
      </c>
      <c r="DA30" s="190" t="b">
        <v>1</v>
      </c>
      <c r="DB30" s="204">
        <v>5</v>
      </c>
      <c r="DC30" s="213">
        <f>DC29</f>
        <v>6783.9217119189834</v>
      </c>
      <c r="DD30" s="209">
        <f>DD29</f>
        <v>2.2616363537508732E-7</v>
      </c>
      <c r="DE30" s="209">
        <f>DE29</f>
        <v>204.91262947234833</v>
      </c>
      <c r="DF30" s="211" t="b">
        <f>DF29</f>
        <v>1</v>
      </c>
      <c r="DG30" s="212">
        <v>0</v>
      </c>
      <c r="DH30" s="213"/>
      <c r="DI30" s="209"/>
      <c r="DJ30" s="209"/>
      <c r="DK30" s="211"/>
      <c r="DL30" s="212"/>
      <c r="DM30" s="213">
        <v>6993.1696523062756</v>
      </c>
      <c r="DN30" s="209">
        <f t="shared" si="2"/>
        <v>4.4159787648823112E-7</v>
      </c>
      <c r="DO30" s="209">
        <f t="shared" si="3"/>
        <v>758.46405714748335</v>
      </c>
      <c r="DP30" s="211" t="b">
        <v>1</v>
      </c>
      <c r="DQ30" s="212">
        <v>0</v>
      </c>
    </row>
    <row r="31" spans="1:122" s="187" customFormat="1" x14ac:dyDescent="0.3">
      <c r="A31" s="193" t="s">
        <v>80</v>
      </c>
      <c r="B31" s="237">
        <v>0</v>
      </c>
      <c r="C31" s="209">
        <f t="shared" si="13"/>
        <v>0</v>
      </c>
      <c r="D31" s="209">
        <f t="shared" si="14"/>
        <v>1022.13715</v>
      </c>
      <c r="E31" s="211" t="b">
        <v>1</v>
      </c>
      <c r="F31" s="212">
        <v>0</v>
      </c>
      <c r="G31" s="213"/>
      <c r="H31" s="209"/>
      <c r="I31" s="209"/>
      <c r="J31" s="211"/>
      <c r="K31" s="212"/>
      <c r="L31" s="192"/>
      <c r="M31" s="210"/>
      <c r="N31" s="210"/>
      <c r="O31" s="190"/>
      <c r="P31" s="191"/>
      <c r="Q31" s="192"/>
      <c r="R31" s="210"/>
      <c r="S31" s="210"/>
      <c r="T31" s="190"/>
      <c r="U31" s="191"/>
      <c r="V31" s="213"/>
      <c r="W31" s="209"/>
      <c r="X31" s="209"/>
      <c r="Y31" s="211"/>
      <c r="Z31" s="212"/>
      <c r="AA31" s="207">
        <v>804</v>
      </c>
      <c r="AB31" s="210">
        <f xml:space="preserve"> -8.20168948E-16*AA31^5 + 0.0000000000135889885*AA31^4 - 0.0000000840631515*AA31^3 + 0.000206462105*AA31^2 - 0.0717799351*AA31 - 37.5476442</f>
        <v>-8.4806863875016347E-2</v>
      </c>
      <c r="AC31" s="210">
        <f xml:space="preserve"> -0.0536796537*AA31 - 386.148723</f>
        <v>-429.30716457480003</v>
      </c>
      <c r="AD31" s="190" t="b">
        <v>1</v>
      </c>
      <c r="AE31" s="191">
        <v>6</v>
      </c>
      <c r="AF31" s="192">
        <v>1000</v>
      </c>
      <c r="AG31" s="210">
        <f xml:space="preserve"> -8.20168948E-16*AF31^5 + 0.0000000000135889885*AF31^4 - 0.0000000840631515*AF31^3 + 0.000206462105*AF31^2 - 0.0717799351*AF31 - 37.5476442</f>
        <v>25.840193751999969</v>
      </c>
      <c r="AH31" s="210">
        <f xml:space="preserve"> -0.0536796537*AF31 - 386.148723</f>
        <v>-439.82837670000004</v>
      </c>
      <c r="AI31" s="190" t="b">
        <v>0</v>
      </c>
      <c r="AJ31" s="191">
        <v>6</v>
      </c>
      <c r="AK31" s="192">
        <v>1500</v>
      </c>
      <c r="AL31" s="210">
        <f xml:space="preserve"> -8.20168948E-16*AK31^5 + 0.0000000000135889885*AK31^4 - 0.0000000840631515*AK31^3 + 0.000206462105*AK31^2 - 0.0717799351*AK31 - 37.5476442</f>
        <v>98.175149419874941</v>
      </c>
      <c r="AM31" s="210">
        <f xml:space="preserve"> -0.0536796537*AK31 - 386.148723</f>
        <v>-466.66820355000004</v>
      </c>
      <c r="AN31" s="190" t="b">
        <v>0</v>
      </c>
      <c r="AO31" s="191">
        <v>6</v>
      </c>
      <c r="AP31" s="192">
        <v>2000</v>
      </c>
      <c r="AQ31" s="210">
        <f xml:space="preserve"> -8.20168948E-16*AP31^5 + 0.0000000000135889885*AP31^4 - 0.0000000840631515*AP31^3 + 0.000206462105*AP31^2 - 0.0717799351*AP31 - 37.5476442</f>
        <v>163.41410326399989</v>
      </c>
      <c r="AR31" s="210">
        <f xml:space="preserve"> -0.0536796537*AP31 - 386.148723</f>
        <v>-493.50803040000005</v>
      </c>
      <c r="AS31" s="190" t="b">
        <v>0</v>
      </c>
      <c r="AT31" s="191">
        <v>6</v>
      </c>
      <c r="AU31" s="192">
        <v>2625</v>
      </c>
      <c r="AV31" s="210">
        <f xml:space="preserve"> -8.20168948E-16*AU31^5 + 0.0000000000135889885*AU31^4 - 0.0000000840631515*AU31^3 + 0.000206462105*AU31^2 - 0.0717799351*AU31 - 37.5476442</f>
        <v>219.14944829861602</v>
      </c>
      <c r="AW31" s="210">
        <f xml:space="preserve"> -0.0536796537*AU31 - 386.148723</f>
        <v>-527.05781396250006</v>
      </c>
      <c r="AX31" s="190" t="b">
        <v>0</v>
      </c>
      <c r="AY31" s="191">
        <v>6</v>
      </c>
      <c r="AZ31" s="206"/>
      <c r="BA31" s="203"/>
      <c r="BB31" s="203"/>
      <c r="BC31" s="203"/>
      <c r="BD31" s="204"/>
      <c r="BE31" s="192">
        <v>3000</v>
      </c>
      <c r="BF31" s="210">
        <f xml:space="preserve"> -8.20168948E-16*BE31^5 + 0.0000000000135889885*BE31^4 - 0.0000000840631515*BE31^3 + 0.000206462105*BE31^2 - 0.0717799351*BE31 - 37.5476442</f>
        <v>236.97341913599965</v>
      </c>
      <c r="BG31" s="210">
        <f xml:space="preserve"> -0.0536796537*BE31 - 386.148723</f>
        <v>-547.18768410000007</v>
      </c>
      <c r="BH31" s="190" t="b">
        <v>0</v>
      </c>
      <c r="BI31" s="191">
        <v>6</v>
      </c>
      <c r="BJ31" s="192">
        <v>3500</v>
      </c>
      <c r="BK31" s="210">
        <f xml:space="preserve"> -8.20168948E-16*BJ31^5 + 0.0000000000135889885*BJ31^4 - 0.0000000840631515*BJ31^3 + 0.000206462105*BJ31^2 - 0.0717799351*BJ31 - 37.5476442</f>
        <v>244.60522576137478</v>
      </c>
      <c r="BL31" s="210">
        <f xml:space="preserve"> -0.0536796537*BJ31 - 386.148723</f>
        <v>-574.02751095000008</v>
      </c>
      <c r="BM31" s="190" t="b">
        <v>0</v>
      </c>
      <c r="BN31" s="191">
        <v>6</v>
      </c>
      <c r="BO31" s="192">
        <v>4000</v>
      </c>
      <c r="BP31" s="210">
        <f xml:space="preserve"> -8.20168948E-16*BO31^5 + 0.0000000000135889885*BO31^4 - 0.0000000840631515*BO31^3 + 0.000206462105*BO31^2 - 0.0717799351*BO31 - 37.5476442</f>
        <v>237.61265264799917</v>
      </c>
      <c r="BQ31" s="210">
        <f xml:space="preserve"> -0.0536796537*BO31 - 386.148723</f>
        <v>-600.86733780000009</v>
      </c>
      <c r="BR31" s="190" t="b">
        <v>0</v>
      </c>
      <c r="BS31" s="191">
        <v>6</v>
      </c>
      <c r="BT31" s="198">
        <v>4550</v>
      </c>
      <c r="BU31" s="210">
        <f xml:space="preserve"> -8.20168948E-16*BT31^5 + 0.0000000000135889885*BT31^4 - 0.0000000840631515*BT31^3 + 0.000206462105*BT31^2 - 0.0717799351*BT31 - 37.5476442</f>
        <v>216.43162769745706</v>
      </c>
      <c r="BV31" s="210">
        <f xml:space="preserve"> -0.0536796537*BT31 - 386.148723</f>
        <v>-630.39114733500003</v>
      </c>
      <c r="BW31" s="190" t="b">
        <v>0</v>
      </c>
      <c r="BX31" s="191">
        <v>6</v>
      </c>
      <c r="BY31" s="192">
        <v>5000</v>
      </c>
      <c r="BZ31" s="210">
        <f xml:space="preserve"> -8.20168948E-16*BY31^5 + 0.0000000000135889885*BY31^4 - 0.0000000840631515*BY31^3 + 0.000206462105*BY31^2 - 0.0717799351*BY31 - 37.5476442</f>
        <v>187.30121779999874</v>
      </c>
      <c r="CA31" s="210">
        <f xml:space="preserve"> -0.0536796537*BY31 - 386.148723</f>
        <v>-654.5469915000001</v>
      </c>
      <c r="CB31" s="190" t="b">
        <v>0</v>
      </c>
      <c r="CC31" s="191">
        <v>6</v>
      </c>
      <c r="CD31" s="192">
        <v>6000</v>
      </c>
      <c r="CE31" s="210">
        <f xml:space="preserve"> -8.20168948E-16*CD31^5 + 0.0000000000135889885*CD31^4 - 0.0000000840631515*CD31^3 + 0.000206462105*CD31^2 - 0.0717799351*CD31 - 37.5476442</f>
        <v>40.463157551995302</v>
      </c>
      <c r="CF31" s="210">
        <f xml:space="preserve"> -0.0536796537*CD31 - 386.148723</f>
        <v>-708.22664520000012</v>
      </c>
      <c r="CG31" s="190" t="b">
        <v>0</v>
      </c>
      <c r="CH31" s="191">
        <v>6</v>
      </c>
      <c r="CI31" s="206"/>
      <c r="CJ31" s="203"/>
      <c r="CK31" s="203"/>
      <c r="CL31" s="203"/>
      <c r="CM31" s="191"/>
      <c r="CN31" s="207">
        <v>6151</v>
      </c>
      <c r="CO31" s="210">
        <f xml:space="preserve"> -8.20168948E-16*CN31^5 + 0.0000000000135889885*CN31^4 - 0.0000000840631515*CN31^3 + 0.000206462105*CN31^2 - 0.0717799351*CN31 - 37.5476442</f>
        <v>-0.2631398322426648</v>
      </c>
      <c r="CP31" s="210">
        <f xml:space="preserve"> -0.0536796537*CN31 - 386.148723</f>
        <v>-716.33227290870002</v>
      </c>
      <c r="CQ31" s="190" t="b">
        <v>1</v>
      </c>
      <c r="CR31" s="191">
        <v>0</v>
      </c>
      <c r="CS31" s="207"/>
      <c r="CT31" s="210"/>
      <c r="CU31" s="210"/>
      <c r="CV31" s="190"/>
      <c r="CW31" s="191"/>
      <c r="CX31" s="192"/>
      <c r="CY31" s="210"/>
      <c r="CZ31" s="210"/>
      <c r="DA31" s="190"/>
      <c r="DB31" s="191"/>
      <c r="DC31" s="208"/>
      <c r="DD31" s="211"/>
      <c r="DE31" s="211"/>
      <c r="DF31" s="211"/>
      <c r="DG31" s="212"/>
      <c r="DH31" s="208"/>
      <c r="DI31" s="211"/>
      <c r="DJ31" s="211"/>
      <c r="DK31" s="211"/>
      <c r="DL31" s="212"/>
      <c r="DM31" s="213">
        <v>6993.1696523062756</v>
      </c>
      <c r="DN31" s="209">
        <f t="shared" si="2"/>
        <v>4.4159787648823112E-7</v>
      </c>
      <c r="DO31" s="209">
        <f t="shared" si="3"/>
        <v>758.46405714748335</v>
      </c>
      <c r="DP31" s="211" t="b">
        <v>1</v>
      </c>
      <c r="DQ31" s="212">
        <v>0</v>
      </c>
    </row>
    <row r="32" spans="1:122" s="187" customFormat="1" x14ac:dyDescent="0.3">
      <c r="A32" s="242" t="s">
        <v>81</v>
      </c>
      <c r="B32" s="243">
        <v>0</v>
      </c>
      <c r="C32" s="244">
        <f t="shared" si="13"/>
        <v>0</v>
      </c>
      <c r="D32" s="244">
        <f t="shared" si="14"/>
        <v>1022.13715</v>
      </c>
      <c r="E32" s="245" t="b">
        <v>1</v>
      </c>
      <c r="F32" s="246">
        <v>0</v>
      </c>
      <c r="G32" s="247"/>
      <c r="H32" s="244"/>
      <c r="I32" s="244"/>
      <c r="J32" s="245"/>
      <c r="K32" s="246"/>
      <c r="L32" s="248"/>
      <c r="M32" s="249"/>
      <c r="N32" s="249"/>
      <c r="O32" s="249"/>
      <c r="P32" s="250"/>
      <c r="Q32" s="248"/>
      <c r="R32" s="249"/>
      <c r="S32" s="249"/>
      <c r="T32" s="249"/>
      <c r="U32" s="250"/>
      <c r="V32" s="251"/>
      <c r="W32" s="245"/>
      <c r="X32" s="245"/>
      <c r="Y32" s="245"/>
      <c r="Z32" s="246"/>
      <c r="AA32" s="252">
        <v>804</v>
      </c>
      <c r="AB32" s="253">
        <v>0</v>
      </c>
      <c r="AC32" s="253">
        <f>AC31</f>
        <v>-429.30716457480003</v>
      </c>
      <c r="AD32" s="249" t="b">
        <f>AD31</f>
        <v>1</v>
      </c>
      <c r="AE32" s="250">
        <v>7</v>
      </c>
      <c r="AF32" s="248">
        <f>AF31</f>
        <v>1000</v>
      </c>
      <c r="AG32" s="253">
        <v>0</v>
      </c>
      <c r="AH32" s="253">
        <f>AH31</f>
        <v>-439.82837670000004</v>
      </c>
      <c r="AI32" s="249" t="b">
        <f>AI31</f>
        <v>0</v>
      </c>
      <c r="AJ32" s="250">
        <v>7</v>
      </c>
      <c r="AK32" s="248">
        <f>AK31</f>
        <v>1500</v>
      </c>
      <c r="AL32" s="253">
        <v>0</v>
      </c>
      <c r="AM32" s="253">
        <f>AM31</f>
        <v>-466.66820355000004</v>
      </c>
      <c r="AN32" s="249" t="b">
        <f>AN31</f>
        <v>0</v>
      </c>
      <c r="AO32" s="250">
        <v>7</v>
      </c>
      <c r="AP32" s="248">
        <f>AP31</f>
        <v>2000</v>
      </c>
      <c r="AQ32" s="253">
        <v>0</v>
      </c>
      <c r="AR32" s="253">
        <f>AR31</f>
        <v>-493.50803040000005</v>
      </c>
      <c r="AS32" s="249" t="b">
        <f>AS31</f>
        <v>0</v>
      </c>
      <c r="AT32" s="250">
        <v>7</v>
      </c>
      <c r="AU32" s="248">
        <v>2625</v>
      </c>
      <c r="AV32" s="253">
        <v>0</v>
      </c>
      <c r="AW32" s="253">
        <f>AW31</f>
        <v>-527.05781396250006</v>
      </c>
      <c r="AX32" s="249" t="b">
        <f>AX31</f>
        <v>0</v>
      </c>
      <c r="AY32" s="250">
        <v>7</v>
      </c>
      <c r="AZ32" s="254"/>
      <c r="BA32" s="255"/>
      <c r="BB32" s="255"/>
      <c r="BC32" s="255"/>
      <c r="BD32" s="256"/>
      <c r="BE32" s="248">
        <f>BE31</f>
        <v>3000</v>
      </c>
      <c r="BF32" s="253">
        <v>0</v>
      </c>
      <c r="BG32" s="253">
        <f>BG31</f>
        <v>-547.18768410000007</v>
      </c>
      <c r="BH32" s="249" t="b">
        <f>BH31</f>
        <v>0</v>
      </c>
      <c r="BI32" s="250">
        <v>7</v>
      </c>
      <c r="BJ32" s="248">
        <f>BJ31</f>
        <v>3500</v>
      </c>
      <c r="BK32" s="253">
        <v>0</v>
      </c>
      <c r="BL32" s="253">
        <f>BL31</f>
        <v>-574.02751095000008</v>
      </c>
      <c r="BM32" s="249" t="b">
        <f>BM31</f>
        <v>0</v>
      </c>
      <c r="BN32" s="250">
        <v>7</v>
      </c>
      <c r="BO32" s="248">
        <f>BO31</f>
        <v>4000</v>
      </c>
      <c r="BP32" s="253">
        <v>0</v>
      </c>
      <c r="BQ32" s="253">
        <f>BQ31</f>
        <v>-600.86733780000009</v>
      </c>
      <c r="BR32" s="249" t="b">
        <f>BR31</f>
        <v>0</v>
      </c>
      <c r="BS32" s="250">
        <v>7</v>
      </c>
      <c r="BT32" s="257">
        <v>4550</v>
      </c>
      <c r="BU32" s="253">
        <v>0</v>
      </c>
      <c r="BV32" s="253">
        <f>BV31</f>
        <v>-630.39114733500003</v>
      </c>
      <c r="BW32" s="249" t="b">
        <f>BW31</f>
        <v>0</v>
      </c>
      <c r="BX32" s="250">
        <v>7</v>
      </c>
      <c r="BY32" s="248">
        <f>BY31</f>
        <v>5000</v>
      </c>
      <c r="BZ32" s="253">
        <v>0</v>
      </c>
      <c r="CA32" s="253">
        <f>CA31</f>
        <v>-654.5469915000001</v>
      </c>
      <c r="CB32" s="249" t="b">
        <f>CB31</f>
        <v>0</v>
      </c>
      <c r="CC32" s="250">
        <v>7</v>
      </c>
      <c r="CD32" s="248">
        <f>CD31</f>
        <v>6000</v>
      </c>
      <c r="CE32" s="253">
        <v>0</v>
      </c>
      <c r="CF32" s="253">
        <f>CF31</f>
        <v>-708.22664520000012</v>
      </c>
      <c r="CG32" s="249" t="b">
        <v>1</v>
      </c>
      <c r="CH32" s="250">
        <v>7</v>
      </c>
      <c r="CI32" s="254"/>
      <c r="CJ32" s="255"/>
      <c r="CK32" s="255"/>
      <c r="CL32" s="255"/>
      <c r="CM32" s="250"/>
      <c r="CN32" s="252">
        <v>6151</v>
      </c>
      <c r="CO32" s="253">
        <v>0</v>
      </c>
      <c r="CP32" s="253">
        <f>CP31</f>
        <v>-716.33227290870002</v>
      </c>
      <c r="CQ32" s="249" t="b">
        <f>CQ31</f>
        <v>1</v>
      </c>
      <c r="CR32" s="250">
        <v>0</v>
      </c>
      <c r="CS32" s="252"/>
      <c r="CT32" s="253"/>
      <c r="CU32" s="253"/>
      <c r="CV32" s="249"/>
      <c r="CW32" s="250"/>
      <c r="CX32" s="248"/>
      <c r="CY32" s="249"/>
      <c r="CZ32" s="249"/>
      <c r="DA32" s="249"/>
      <c r="DB32" s="250"/>
      <c r="DC32" s="251"/>
      <c r="DD32" s="245"/>
      <c r="DE32" s="245"/>
      <c r="DF32" s="245"/>
      <c r="DG32" s="246"/>
      <c r="DH32" s="251"/>
      <c r="DI32" s="245"/>
      <c r="DJ32" s="245"/>
      <c r="DK32" s="245"/>
      <c r="DL32" s="246"/>
      <c r="DM32" s="247">
        <v>6993.1696523062756</v>
      </c>
      <c r="DN32" s="244">
        <f t="shared" si="2"/>
        <v>4.4159787648823112E-7</v>
      </c>
      <c r="DO32" s="244">
        <f t="shared" si="3"/>
        <v>758.46405714748335</v>
      </c>
      <c r="DP32" s="245" t="b">
        <v>1</v>
      </c>
      <c r="DQ32" s="246">
        <v>0</v>
      </c>
    </row>
    <row r="33" spans="1:121" x14ac:dyDescent="0.3">
      <c r="A33" s="203"/>
      <c r="B33" s="258"/>
      <c r="C33" s="258"/>
      <c r="D33" s="258"/>
      <c r="E33" s="258"/>
      <c r="F33" s="258"/>
      <c r="G33" s="259"/>
      <c r="H33" s="259"/>
      <c r="I33" s="259"/>
      <c r="J33" s="258"/>
      <c r="K33" s="258"/>
      <c r="L33" s="258"/>
      <c r="M33" s="258"/>
      <c r="N33" s="260"/>
      <c r="O33" s="258"/>
      <c r="P33" s="258"/>
      <c r="Q33" s="258"/>
      <c r="R33" s="258"/>
      <c r="S33" s="260"/>
      <c r="T33" s="258"/>
      <c r="U33" s="258"/>
      <c r="V33" s="258"/>
      <c r="W33" s="258"/>
      <c r="X33" s="260"/>
      <c r="Y33" s="258"/>
      <c r="Z33" s="258"/>
      <c r="AA33" s="258"/>
      <c r="AB33" s="259"/>
      <c r="AC33" s="259"/>
      <c r="AD33" s="258"/>
      <c r="AE33" s="258"/>
      <c r="AF33" s="258"/>
      <c r="AG33" s="259"/>
      <c r="AH33" s="259"/>
      <c r="AI33" s="258"/>
      <c r="AJ33" s="258"/>
      <c r="AP33" s="258"/>
      <c r="AQ33" s="259"/>
      <c r="AR33" s="259"/>
      <c r="AS33" s="258"/>
      <c r="AT33" s="258"/>
      <c r="AU33" s="258"/>
      <c r="AV33" s="259"/>
      <c r="AW33" s="259"/>
      <c r="AX33" s="258"/>
      <c r="AY33" s="258"/>
      <c r="AZ33" s="258"/>
      <c r="BA33" s="259"/>
      <c r="BB33" s="259"/>
      <c r="BC33" s="258"/>
      <c r="BD33" s="258"/>
      <c r="BE33" s="258"/>
      <c r="BF33" s="259"/>
      <c r="BG33" s="259"/>
      <c r="BH33" s="258"/>
      <c r="BI33" s="258"/>
      <c r="BJ33" s="258"/>
      <c r="BK33" s="259"/>
      <c r="BL33" s="259"/>
      <c r="BM33" s="258"/>
      <c r="BN33" s="258"/>
      <c r="BO33" s="258"/>
      <c r="BP33" s="259"/>
      <c r="BQ33" s="259"/>
      <c r="BR33" s="258"/>
      <c r="BS33" s="258"/>
      <c r="BT33" s="258"/>
      <c r="BU33" s="259"/>
      <c r="BV33" s="259"/>
      <c r="BW33" s="258"/>
      <c r="BX33" s="258"/>
      <c r="BY33" s="258"/>
      <c r="BZ33" s="259"/>
      <c r="CA33" s="259"/>
      <c r="CB33" s="258"/>
      <c r="CC33" s="258"/>
      <c r="CD33" s="258"/>
      <c r="CE33" s="259"/>
      <c r="CF33" s="259"/>
      <c r="CG33" s="258"/>
      <c r="CH33" s="258"/>
      <c r="CI33" s="258"/>
      <c r="CJ33" s="259"/>
      <c r="CK33" s="259"/>
      <c r="CL33" s="258"/>
      <c r="CM33" s="258"/>
      <c r="CN33" s="200"/>
      <c r="CO33" s="199"/>
      <c r="CP33" s="199"/>
      <c r="CQ33" s="200"/>
      <c r="CR33" s="200"/>
      <c r="CS33" s="200"/>
      <c r="CT33" s="199"/>
      <c r="CU33" s="199"/>
      <c r="CV33" s="200"/>
      <c r="CW33" s="200"/>
      <c r="CX33" s="200"/>
      <c r="CY33" s="199"/>
      <c r="CZ33" s="199"/>
      <c r="DA33" s="200"/>
      <c r="DB33" s="200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</row>
    <row r="34" spans="1:121" s="187" customFormat="1" x14ac:dyDescent="0.3">
      <c r="A34" s="261" t="s">
        <v>140</v>
      </c>
      <c r="B34" s="261">
        <f>MAX(C34:DQ34)</f>
        <v>897.24460774074248</v>
      </c>
      <c r="D34" s="261">
        <f>SQRT((C29-C30)^2+(D29-D30)^2)</f>
        <v>0</v>
      </c>
      <c r="E34" s="262"/>
      <c r="F34" s="262"/>
      <c r="G34" s="175"/>
      <c r="H34" s="181"/>
      <c r="I34" s="261">
        <f>SQRT((H29-H30)^2+(I29-I30)^2)</f>
        <v>0</v>
      </c>
      <c r="J34" s="175"/>
      <c r="K34" s="175"/>
      <c r="L34" s="175"/>
      <c r="M34" s="181"/>
      <c r="N34" s="261">
        <f>SQRT((M29-M30)^2+(N29-N30)^2)</f>
        <v>160.29612041527355</v>
      </c>
      <c r="O34" s="175"/>
      <c r="P34" s="175"/>
      <c r="Q34" s="261"/>
      <c r="R34" s="261"/>
      <c r="S34" s="261">
        <f>SQRT((R29-R30)^2+(S29-S30)^2)</f>
        <v>464.0385100079456</v>
      </c>
      <c r="T34" s="262"/>
      <c r="U34" s="262"/>
      <c r="V34" s="175"/>
      <c r="W34" s="181"/>
      <c r="X34" s="261">
        <f>SQRT((W29-W30)^2+(X29-X30)^2)</f>
        <v>614.08254648694833</v>
      </c>
      <c r="Y34" s="175"/>
      <c r="Z34" s="175"/>
      <c r="AC34" s="261">
        <f>SQRT((AB29-AB30)^2+(AC29-AC30)^2)</f>
        <v>680.24320003452294</v>
      </c>
      <c r="AF34" s="181"/>
      <c r="AG34" s="181"/>
      <c r="AH34" s="261">
        <f>SQRT((AG29-AG30)^2+(AH29-AH30)^2)</f>
        <v>644.47892081126952</v>
      </c>
      <c r="AI34" s="175"/>
      <c r="AJ34" s="175"/>
      <c r="AM34" s="261">
        <f>SQRT((AL29-AL30)^2+(AM29-AM30)^2)</f>
        <v>681.21404319451256</v>
      </c>
      <c r="AP34" s="175"/>
      <c r="AQ34" s="181"/>
      <c r="AR34" s="261">
        <f>SQRT((AQ29-AQ30)^2+(AR29-AR30)^2)</f>
        <v>723.89627858189442</v>
      </c>
      <c r="AS34" s="261"/>
      <c r="AT34" s="175"/>
      <c r="AU34" s="175"/>
      <c r="AV34" s="181"/>
      <c r="AW34" s="261">
        <f>SQRT((AV29-AV30)^2+(AW29-AW30)^2)</f>
        <v>775.73007180422803</v>
      </c>
      <c r="AX34" s="175"/>
      <c r="AY34" s="175"/>
      <c r="AZ34" s="175"/>
      <c r="BA34" s="181"/>
      <c r="BB34" s="261">
        <f>SQRT((BA29-BA30)^2+(BB29-BB30)^2)</f>
        <v>0</v>
      </c>
      <c r="BC34" s="175"/>
      <c r="BD34" s="175"/>
      <c r="BE34" s="175"/>
      <c r="BF34" s="181"/>
      <c r="BG34" s="261">
        <f>SQRT((BF29-BF30)^2+(BG29-BG30)^2)</f>
        <v>806.23018429389117</v>
      </c>
      <c r="BH34" s="175"/>
      <c r="BI34" s="175"/>
      <c r="BJ34" s="175"/>
      <c r="BK34" s="181"/>
      <c r="BL34" s="261">
        <f>SQRT((BK29-BK30)^2+(BL29-BL30)^2)</f>
        <v>842.87620373639129</v>
      </c>
      <c r="BM34" s="175"/>
      <c r="BN34" s="175"/>
      <c r="BO34" s="175"/>
      <c r="BP34" s="181"/>
      <c r="BQ34" s="261">
        <f>SQRT((BP29-BP30)^2+(BQ29-BQ30)^2)</f>
        <v>869.26873349333152</v>
      </c>
      <c r="BR34" s="175"/>
      <c r="BS34" s="175"/>
      <c r="BT34" s="175"/>
      <c r="BU34" s="181"/>
      <c r="BV34" s="261">
        <f>SQRT((BU29-BU30)^2+(BV29-BV30)^2)</f>
        <v>879.99145411801624</v>
      </c>
      <c r="BW34" s="175"/>
      <c r="BX34" s="175"/>
      <c r="BY34" s="181"/>
      <c r="BZ34" s="181"/>
      <c r="CA34" s="261">
        <f>SQRT((BZ29-BZ30)^2+(CA29-CA30)^2)</f>
        <v>873.64790203118491</v>
      </c>
      <c r="CB34" s="175"/>
      <c r="CC34" s="175"/>
      <c r="CD34" s="175"/>
      <c r="CE34" s="181"/>
      <c r="CF34" s="261">
        <f>SQRT((CE29-CE30)^2+(CF29-CF30)^2)</f>
        <v>851.75210422908708</v>
      </c>
      <c r="CG34" s="175"/>
      <c r="CH34" s="175"/>
      <c r="CI34" s="175"/>
      <c r="CJ34" s="181"/>
      <c r="CK34" s="261">
        <f>SQRT((CJ29-CJ30)^2+(CK29-CK30)^2)</f>
        <v>847.84310303611005</v>
      </c>
      <c r="CL34" s="175"/>
      <c r="CM34" s="175"/>
      <c r="CN34" s="181"/>
      <c r="CO34" s="181"/>
      <c r="CP34" s="261">
        <f>SQRT((CO29-CO30)^2+(CP29-CP30)^2)</f>
        <v>896.92383853892704</v>
      </c>
      <c r="CQ34" s="175"/>
      <c r="CR34" s="175"/>
      <c r="CS34" s="181"/>
      <c r="CT34" s="181"/>
      <c r="CU34" s="261">
        <f>SQRT((CT29-CT30)^2+(CU29-CU30)^2)</f>
        <v>0</v>
      </c>
      <c r="CV34" s="175"/>
      <c r="CW34" s="175"/>
      <c r="CZ34" s="261">
        <f>SQRT((CY29-CY30)^2+(CZ29-CZ30)^2)</f>
        <v>897.24460774074248</v>
      </c>
      <c r="DC34" s="175"/>
      <c r="DD34" s="181"/>
      <c r="DE34" s="261">
        <f>SQRT((DD29-DD30)^2+(DE29-DE30)^2)</f>
        <v>0</v>
      </c>
      <c r="DF34" s="175"/>
      <c r="DG34" s="175"/>
      <c r="DH34" s="175"/>
      <c r="DI34" s="175"/>
      <c r="DJ34" s="261">
        <f>SQRT((DI29-DI30)^2+(DJ29-DJ30)^2)</f>
        <v>0</v>
      </c>
      <c r="DK34" s="175"/>
      <c r="DL34" s="175"/>
      <c r="DM34" s="261"/>
      <c r="DN34" s="261"/>
      <c r="DO34" s="261">
        <f>SQRT((DN29-DN30)^2+(DO29-DO30)^2)</f>
        <v>0</v>
      </c>
      <c r="DP34" s="262"/>
      <c r="DQ34" s="262"/>
    </row>
    <row r="35" spans="1:121" s="176" customFormat="1" x14ac:dyDescent="0.3">
      <c r="B35" s="175"/>
      <c r="C35" s="175"/>
    </row>
    <row r="36" spans="1:121" s="241" customFormat="1" x14ac:dyDescent="0.3">
      <c r="A36" s="203"/>
      <c r="B36" s="181"/>
      <c r="C36" s="181"/>
      <c r="D36" s="181"/>
      <c r="E36" s="175"/>
      <c r="F36" s="175"/>
      <c r="G36" s="175"/>
      <c r="H36" s="181"/>
      <c r="I36" s="181"/>
      <c r="J36" s="175"/>
      <c r="K36" s="175"/>
      <c r="L36" s="175"/>
      <c r="M36" s="181"/>
      <c r="N36" s="181"/>
      <c r="O36" s="175"/>
      <c r="P36" s="175"/>
      <c r="Q36" s="175"/>
      <c r="R36" s="181"/>
      <c r="S36" s="181"/>
      <c r="T36" s="175"/>
      <c r="U36" s="175"/>
      <c r="V36" s="175"/>
      <c r="W36" s="181"/>
      <c r="X36" s="181"/>
      <c r="Y36" s="175"/>
      <c r="Z36" s="175"/>
      <c r="AA36" s="175"/>
      <c r="AB36" s="181"/>
      <c r="AC36" s="181"/>
      <c r="AD36" s="175"/>
      <c r="AE36" s="175"/>
      <c r="AF36" s="175"/>
      <c r="AG36" s="181"/>
      <c r="AH36" s="181"/>
      <c r="AI36" s="175"/>
      <c r="AJ36" s="175"/>
      <c r="AK36" s="175"/>
      <c r="AL36" s="181"/>
      <c r="AM36" s="181"/>
      <c r="AN36" s="175"/>
      <c r="AO36" s="175"/>
      <c r="AP36" s="175"/>
      <c r="AQ36" s="181"/>
      <c r="AR36" s="181"/>
      <c r="AS36" s="175"/>
      <c r="AT36" s="175"/>
      <c r="AU36" s="175"/>
      <c r="AV36" s="181"/>
      <c r="AW36" s="181"/>
      <c r="AX36" s="175"/>
      <c r="AY36" s="175"/>
      <c r="AZ36" s="175"/>
      <c r="BA36" s="181"/>
      <c r="BB36" s="181"/>
      <c r="BC36" s="175"/>
      <c r="BD36" s="175"/>
      <c r="BE36" s="175"/>
      <c r="BF36" s="181"/>
      <c r="BG36" s="181"/>
      <c r="BH36" s="175"/>
      <c r="BI36" s="175"/>
      <c r="BJ36" s="175"/>
      <c r="BK36" s="181"/>
      <c r="BL36" s="181"/>
      <c r="BM36" s="175"/>
      <c r="BN36" s="175"/>
      <c r="BO36" s="175"/>
      <c r="BP36" s="181"/>
      <c r="BQ36" s="181"/>
      <c r="BR36" s="175"/>
      <c r="BS36" s="175"/>
      <c r="BT36" s="175"/>
      <c r="BU36" s="181"/>
      <c r="BV36" s="181"/>
      <c r="BW36" s="175"/>
      <c r="BX36" s="175"/>
      <c r="BY36" s="175"/>
      <c r="BZ36" s="181"/>
      <c r="CA36" s="181"/>
      <c r="CB36" s="175"/>
      <c r="CC36" s="175"/>
      <c r="CD36" s="175"/>
      <c r="CE36" s="181"/>
      <c r="CF36" s="181"/>
      <c r="CG36" s="175"/>
      <c r="CH36" s="175"/>
      <c r="CI36" s="175"/>
      <c r="CJ36" s="181"/>
      <c r="CK36" s="181"/>
      <c r="CL36" s="175"/>
      <c r="CM36" s="175"/>
      <c r="CN36" s="175"/>
      <c r="CO36" s="181"/>
      <c r="CP36" s="181"/>
      <c r="CQ36" s="175"/>
      <c r="CR36" s="175"/>
      <c r="CS36" s="175"/>
      <c r="CT36" s="181"/>
      <c r="CU36" s="181"/>
      <c r="CV36" s="175"/>
      <c r="CW36" s="175"/>
      <c r="CX36" s="175"/>
      <c r="CY36" s="181"/>
      <c r="CZ36" s="181"/>
      <c r="DA36" s="175"/>
      <c r="DB36" s="175"/>
      <c r="DC36" s="175"/>
      <c r="DD36" s="181"/>
      <c r="DE36" s="181"/>
      <c r="DF36" s="175"/>
      <c r="DG36" s="175"/>
      <c r="DH36" s="175"/>
      <c r="DI36" s="175"/>
      <c r="DJ36" s="175"/>
      <c r="DK36" s="175"/>
      <c r="DL36" s="175"/>
      <c r="DM36" s="181"/>
      <c r="DN36" s="181"/>
      <c r="DO36" s="181"/>
      <c r="DP36" s="175"/>
      <c r="DQ36" s="175"/>
    </row>
    <row r="37" spans="1:121" s="176" customFormat="1" x14ac:dyDescent="0.3">
      <c r="B37" s="175"/>
      <c r="C37" s="175"/>
    </row>
    <row r="38" spans="1:121" s="176" customFormat="1" x14ac:dyDescent="0.3">
      <c r="B38" s="175"/>
      <c r="C38" s="175"/>
    </row>
    <row r="39" spans="1:121" s="176" customFormat="1" x14ac:dyDescent="0.3">
      <c r="B39" s="175"/>
      <c r="C39" s="175"/>
    </row>
    <row r="40" spans="1:121" s="176" customFormat="1" x14ac:dyDescent="0.3">
      <c r="B40" s="175"/>
      <c r="C40" s="175"/>
    </row>
    <row r="41" spans="1:121" s="176" customFormat="1" x14ac:dyDescent="0.3">
      <c r="B41" s="175"/>
      <c r="C41" s="175"/>
    </row>
    <row r="42" spans="1:121" s="176" customFormat="1" x14ac:dyDescent="0.3">
      <c r="B42" s="175"/>
      <c r="C42" s="175"/>
    </row>
    <row r="43" spans="1:121" s="176" customFormat="1" x14ac:dyDescent="0.3">
      <c r="B43" s="175"/>
      <c r="C43" s="175"/>
    </row>
    <row r="44" spans="1:121" s="176" customFormat="1" x14ac:dyDescent="0.3">
      <c r="B44" s="175"/>
      <c r="C44" s="175"/>
    </row>
    <row r="45" spans="1:121" s="176" customFormat="1" x14ac:dyDescent="0.3">
      <c r="B45" s="175"/>
      <c r="C45" s="175"/>
    </row>
    <row r="46" spans="1:121" s="176" customFormat="1" x14ac:dyDescent="0.3">
      <c r="B46" s="175"/>
      <c r="C46" s="175"/>
    </row>
    <row r="47" spans="1:121" s="176" customFormat="1" x14ac:dyDescent="0.3">
      <c r="B47" s="175"/>
      <c r="C47" s="175"/>
    </row>
    <row r="48" spans="1:121" s="176" customFormat="1" x14ac:dyDescent="0.3">
      <c r="B48" s="175"/>
      <c r="C48" s="175"/>
    </row>
    <row r="49" spans="2:3" s="176" customFormat="1" x14ac:dyDescent="0.3">
      <c r="B49" s="175"/>
      <c r="C49" s="175"/>
    </row>
    <row r="50" spans="2:3" s="176" customFormat="1" x14ac:dyDescent="0.3">
      <c r="B50" s="175"/>
      <c r="C50" s="175"/>
    </row>
    <row r="51" spans="2:3" s="176" customFormat="1" x14ac:dyDescent="0.3">
      <c r="B51" s="175"/>
      <c r="C51" s="175"/>
    </row>
    <row r="52" spans="2:3" s="176" customFormat="1" x14ac:dyDescent="0.3">
      <c r="B52" s="175"/>
      <c r="C52" s="175"/>
    </row>
    <row r="53" spans="2:3" s="176" customFormat="1" x14ac:dyDescent="0.3">
      <c r="B53" s="175"/>
      <c r="C53" s="175"/>
    </row>
    <row r="54" spans="2:3" s="176" customFormat="1" x14ac:dyDescent="0.3">
      <c r="B54" s="175"/>
      <c r="C54" s="175"/>
    </row>
    <row r="55" spans="2:3" s="176" customFormat="1" x14ac:dyDescent="0.3">
      <c r="B55" s="175"/>
      <c r="C55" s="175"/>
    </row>
    <row r="56" spans="2:3" s="176" customFormat="1" x14ac:dyDescent="0.3">
      <c r="B56" s="175"/>
      <c r="C56" s="175"/>
    </row>
    <row r="57" spans="2:3" s="176" customFormat="1" x14ac:dyDescent="0.3">
      <c r="B57" s="175"/>
      <c r="C57" s="175"/>
    </row>
    <row r="58" spans="2:3" s="176" customFormat="1" x14ac:dyDescent="0.3">
      <c r="B58" s="175"/>
      <c r="C58" s="175"/>
    </row>
    <row r="59" spans="2:3" s="176" customFormat="1" x14ac:dyDescent="0.3">
      <c r="B59" s="175"/>
      <c r="C59" s="175"/>
    </row>
    <row r="60" spans="2:3" s="176" customFormat="1" x14ac:dyDescent="0.3">
      <c r="B60" s="175"/>
      <c r="C60" s="175"/>
    </row>
    <row r="61" spans="2:3" s="176" customFormat="1" x14ac:dyDescent="0.3">
      <c r="B61" s="175"/>
      <c r="C61" s="175"/>
    </row>
    <row r="62" spans="2:3" s="176" customFormat="1" x14ac:dyDescent="0.3">
      <c r="B62" s="175"/>
      <c r="C62" s="175"/>
    </row>
    <row r="63" spans="2:3" s="176" customFormat="1" x14ac:dyDescent="0.3">
      <c r="B63" s="175"/>
      <c r="C63" s="175"/>
    </row>
    <row r="64" spans="2:3" s="176" customFormat="1" x14ac:dyDescent="0.3">
      <c r="B64" s="175"/>
      <c r="C64" s="175"/>
    </row>
    <row r="65" spans="2:3" s="176" customFormat="1" x14ac:dyDescent="0.3">
      <c r="B65" s="175"/>
      <c r="C65" s="175"/>
    </row>
    <row r="66" spans="2:3" s="176" customFormat="1" x14ac:dyDescent="0.3">
      <c r="B66" s="175"/>
      <c r="C66" s="175"/>
    </row>
    <row r="67" spans="2:3" s="176" customFormat="1" x14ac:dyDescent="0.3">
      <c r="B67" s="175"/>
      <c r="C67" s="175"/>
    </row>
    <row r="68" spans="2:3" s="176" customFormat="1" x14ac:dyDescent="0.3">
      <c r="B68" s="175"/>
      <c r="C68" s="175"/>
    </row>
    <row r="69" spans="2:3" s="176" customFormat="1" x14ac:dyDescent="0.3">
      <c r="B69" s="175"/>
      <c r="C69" s="175"/>
    </row>
    <row r="70" spans="2:3" s="176" customFormat="1" x14ac:dyDescent="0.3">
      <c r="B70" s="175"/>
      <c r="C70" s="175"/>
    </row>
    <row r="71" spans="2:3" s="176" customFormat="1" x14ac:dyDescent="0.3">
      <c r="B71" s="175"/>
      <c r="C71" s="175"/>
    </row>
    <row r="72" spans="2:3" s="176" customFormat="1" x14ac:dyDescent="0.3">
      <c r="B72" s="175"/>
      <c r="C72" s="175"/>
    </row>
    <row r="73" spans="2:3" s="176" customFormat="1" x14ac:dyDescent="0.3">
      <c r="B73" s="175"/>
      <c r="C73" s="175"/>
    </row>
    <row r="74" spans="2:3" s="176" customFormat="1" x14ac:dyDescent="0.3">
      <c r="B74" s="175"/>
      <c r="C74" s="175"/>
    </row>
    <row r="75" spans="2:3" s="176" customFormat="1" x14ac:dyDescent="0.3">
      <c r="B75" s="175"/>
      <c r="C75" s="175"/>
    </row>
    <row r="76" spans="2:3" s="176" customFormat="1" x14ac:dyDescent="0.3">
      <c r="B76" s="175"/>
      <c r="C76" s="175"/>
    </row>
    <row r="77" spans="2:3" s="176" customFormat="1" x14ac:dyDescent="0.3">
      <c r="B77" s="175"/>
      <c r="C77" s="175"/>
    </row>
    <row r="78" spans="2:3" s="176" customFormat="1" x14ac:dyDescent="0.3">
      <c r="B78" s="175"/>
      <c r="C78" s="175"/>
    </row>
    <row r="79" spans="2:3" s="176" customFormat="1" x14ac:dyDescent="0.3">
      <c r="B79" s="175"/>
      <c r="C79" s="175"/>
    </row>
    <row r="80" spans="2:3" s="176" customFormat="1" x14ac:dyDescent="0.3">
      <c r="B80" s="175"/>
      <c r="C80" s="175"/>
    </row>
    <row r="81" spans="2:3" s="176" customFormat="1" x14ac:dyDescent="0.3">
      <c r="B81" s="175"/>
      <c r="C81" s="175"/>
    </row>
    <row r="82" spans="2:3" s="176" customFormat="1" x14ac:dyDescent="0.3">
      <c r="B82" s="175"/>
      <c r="C82" s="175"/>
    </row>
    <row r="83" spans="2:3" s="176" customFormat="1" x14ac:dyDescent="0.3">
      <c r="B83" s="175"/>
      <c r="C83" s="175"/>
    </row>
    <row r="84" spans="2:3" s="176" customFormat="1" x14ac:dyDescent="0.3">
      <c r="B84" s="175"/>
      <c r="C84" s="175"/>
    </row>
    <row r="85" spans="2:3" s="176" customFormat="1" x14ac:dyDescent="0.3">
      <c r="B85" s="175"/>
      <c r="C85" s="175"/>
    </row>
    <row r="86" spans="2:3" s="176" customFormat="1" x14ac:dyDescent="0.3">
      <c r="B86" s="175"/>
      <c r="C86" s="175"/>
    </row>
    <row r="87" spans="2:3" s="176" customFormat="1" x14ac:dyDescent="0.3">
      <c r="B87" s="175"/>
      <c r="C87" s="175"/>
    </row>
    <row r="88" spans="2:3" s="176" customFormat="1" x14ac:dyDescent="0.3">
      <c r="B88" s="175"/>
      <c r="C88" s="175"/>
    </row>
    <row r="89" spans="2:3" s="176" customFormat="1" x14ac:dyDescent="0.3">
      <c r="B89" s="175"/>
      <c r="C89" s="175"/>
    </row>
    <row r="90" spans="2:3" s="176" customFormat="1" x14ac:dyDescent="0.3">
      <c r="B90" s="175"/>
      <c r="C90" s="175"/>
    </row>
    <row r="91" spans="2:3" s="176" customFormat="1" x14ac:dyDescent="0.3">
      <c r="B91" s="175"/>
      <c r="C91" s="175"/>
    </row>
    <row r="92" spans="2:3" s="176" customFormat="1" x14ac:dyDescent="0.3">
      <c r="B92" s="175"/>
      <c r="C92" s="175"/>
    </row>
    <row r="93" spans="2:3" s="176" customFormat="1" x14ac:dyDescent="0.3">
      <c r="B93" s="175"/>
      <c r="C93" s="175"/>
    </row>
    <row r="94" spans="2:3" s="176" customFormat="1" x14ac:dyDescent="0.3">
      <c r="B94" s="175"/>
      <c r="C94" s="175"/>
    </row>
    <row r="95" spans="2:3" s="176" customFormat="1" x14ac:dyDescent="0.3">
      <c r="B95" s="175"/>
      <c r="C95" s="175"/>
    </row>
    <row r="96" spans="2:3" s="176" customFormat="1" x14ac:dyDescent="0.3">
      <c r="B96" s="175"/>
      <c r="C96" s="175"/>
    </row>
    <row r="97" spans="2:3" s="176" customFormat="1" x14ac:dyDescent="0.3">
      <c r="B97" s="175"/>
      <c r="C97" s="175"/>
    </row>
    <row r="98" spans="2:3" s="176" customFormat="1" x14ac:dyDescent="0.3">
      <c r="B98" s="175"/>
      <c r="C98" s="175"/>
    </row>
    <row r="99" spans="2:3" s="176" customFormat="1" x14ac:dyDescent="0.3">
      <c r="B99" s="175"/>
      <c r="C99" s="175"/>
    </row>
    <row r="100" spans="2:3" s="176" customFormat="1" x14ac:dyDescent="0.3">
      <c r="B100" s="175"/>
      <c r="C100" s="175"/>
    </row>
    <row r="101" spans="2:3" s="176" customFormat="1" x14ac:dyDescent="0.3">
      <c r="B101" s="175"/>
      <c r="C101" s="175"/>
    </row>
    <row r="102" spans="2:3" s="176" customFormat="1" x14ac:dyDescent="0.3">
      <c r="B102" s="175"/>
      <c r="C102" s="175"/>
    </row>
    <row r="103" spans="2:3" s="176" customFormat="1" x14ac:dyDescent="0.3">
      <c r="B103" s="175"/>
      <c r="C103" s="175"/>
    </row>
    <row r="104" spans="2:3" s="176" customFormat="1" x14ac:dyDescent="0.3">
      <c r="B104" s="175"/>
      <c r="C104" s="175"/>
    </row>
    <row r="105" spans="2:3" s="176" customFormat="1" x14ac:dyDescent="0.3">
      <c r="B105" s="175"/>
      <c r="C105" s="175"/>
    </row>
    <row r="106" spans="2:3" s="176" customFormat="1" x14ac:dyDescent="0.3">
      <c r="B106" s="175"/>
      <c r="C106" s="175"/>
    </row>
    <row r="107" spans="2:3" s="176" customFormat="1" x14ac:dyDescent="0.3">
      <c r="B107" s="175"/>
      <c r="C107" s="175"/>
    </row>
    <row r="108" spans="2:3" s="176" customFormat="1" x14ac:dyDescent="0.3">
      <c r="B108" s="175"/>
      <c r="C108" s="175"/>
    </row>
    <row r="109" spans="2:3" s="176" customFormat="1" x14ac:dyDescent="0.3">
      <c r="B109" s="175"/>
      <c r="C109" s="175"/>
    </row>
    <row r="110" spans="2:3" s="176" customFormat="1" x14ac:dyDescent="0.3">
      <c r="B110" s="175"/>
      <c r="C110" s="175"/>
    </row>
    <row r="111" spans="2:3" s="176" customFormat="1" x14ac:dyDescent="0.3">
      <c r="B111" s="175"/>
      <c r="C111" s="175"/>
    </row>
    <row r="112" spans="2:3" s="176" customFormat="1" x14ac:dyDescent="0.3">
      <c r="B112" s="175"/>
      <c r="C112" s="175"/>
    </row>
    <row r="113" spans="2:3" s="176" customFormat="1" x14ac:dyDescent="0.3">
      <c r="B113" s="175"/>
      <c r="C113" s="175"/>
    </row>
    <row r="114" spans="2:3" s="176" customFormat="1" x14ac:dyDescent="0.3">
      <c r="B114" s="175"/>
      <c r="C114" s="175"/>
    </row>
    <row r="115" spans="2:3" s="176" customFormat="1" x14ac:dyDescent="0.3">
      <c r="B115" s="175"/>
      <c r="C115" s="175"/>
    </row>
    <row r="116" spans="2:3" s="176" customFormat="1" x14ac:dyDescent="0.3">
      <c r="B116" s="175"/>
      <c r="C116" s="175"/>
    </row>
    <row r="117" spans="2:3" s="176" customFormat="1" x14ac:dyDescent="0.3">
      <c r="B117" s="175"/>
      <c r="C117" s="175"/>
    </row>
    <row r="118" spans="2:3" s="176" customFormat="1" x14ac:dyDescent="0.3">
      <c r="B118" s="175"/>
      <c r="C118" s="175"/>
    </row>
    <row r="119" spans="2:3" s="176" customFormat="1" x14ac:dyDescent="0.3">
      <c r="B119" s="175"/>
      <c r="C119" s="175"/>
    </row>
    <row r="120" spans="2:3" s="176" customFormat="1" x14ac:dyDescent="0.3">
      <c r="B120" s="175"/>
      <c r="C120" s="175"/>
    </row>
    <row r="121" spans="2:3" s="176" customFormat="1" x14ac:dyDescent="0.3">
      <c r="B121" s="175"/>
      <c r="C121" s="175"/>
    </row>
    <row r="122" spans="2:3" s="176" customFormat="1" x14ac:dyDescent="0.3">
      <c r="B122" s="175"/>
      <c r="C122" s="175"/>
    </row>
    <row r="123" spans="2:3" s="176" customFormat="1" x14ac:dyDescent="0.3">
      <c r="B123" s="175"/>
      <c r="C123" s="175"/>
    </row>
    <row r="124" spans="2:3" s="176" customFormat="1" x14ac:dyDescent="0.3">
      <c r="B124" s="175"/>
      <c r="C124" s="175"/>
    </row>
    <row r="125" spans="2:3" s="176" customFormat="1" x14ac:dyDescent="0.3">
      <c r="B125" s="175"/>
      <c r="C125" s="175"/>
    </row>
    <row r="126" spans="2:3" s="176" customFormat="1" x14ac:dyDescent="0.3">
      <c r="B126" s="175"/>
      <c r="C126" s="175"/>
    </row>
    <row r="127" spans="2:3" s="176" customFormat="1" x14ac:dyDescent="0.3">
      <c r="B127" s="175"/>
      <c r="C127" s="175"/>
    </row>
    <row r="128" spans="2:3" s="176" customFormat="1" x14ac:dyDescent="0.3">
      <c r="B128" s="175"/>
      <c r="C128" s="175"/>
    </row>
    <row r="129" spans="2:3" s="176" customFormat="1" x14ac:dyDescent="0.3">
      <c r="B129" s="175"/>
      <c r="C129" s="175"/>
    </row>
    <row r="130" spans="2:3" s="176" customFormat="1" x14ac:dyDescent="0.3">
      <c r="B130" s="175"/>
      <c r="C130" s="175"/>
    </row>
    <row r="131" spans="2:3" s="176" customFormat="1" x14ac:dyDescent="0.3">
      <c r="B131" s="175"/>
      <c r="C131" s="175"/>
    </row>
    <row r="132" spans="2:3" s="176" customFormat="1" x14ac:dyDescent="0.3">
      <c r="B132" s="175"/>
      <c r="C132" s="175"/>
    </row>
    <row r="133" spans="2:3" s="176" customFormat="1" x14ac:dyDescent="0.3">
      <c r="B133" s="175"/>
      <c r="C133" s="175"/>
    </row>
    <row r="134" spans="2:3" s="176" customFormat="1" x14ac:dyDescent="0.3">
      <c r="B134" s="175"/>
      <c r="C134" s="175"/>
    </row>
    <row r="135" spans="2:3" s="176" customFormat="1" x14ac:dyDescent="0.3">
      <c r="B135" s="175"/>
      <c r="C135" s="175"/>
    </row>
    <row r="136" spans="2:3" s="176" customFormat="1" x14ac:dyDescent="0.3">
      <c r="B136" s="175"/>
      <c r="C136" s="175"/>
    </row>
    <row r="137" spans="2:3" s="176" customFormat="1" x14ac:dyDescent="0.3">
      <c r="B137" s="175"/>
      <c r="C137" s="175"/>
    </row>
    <row r="138" spans="2:3" s="176" customFormat="1" x14ac:dyDescent="0.3">
      <c r="B138" s="175"/>
      <c r="C138" s="175"/>
    </row>
    <row r="139" spans="2:3" s="176" customFormat="1" x14ac:dyDescent="0.3">
      <c r="B139" s="175"/>
      <c r="C139" s="175"/>
    </row>
    <row r="140" spans="2:3" s="176" customFormat="1" x14ac:dyDescent="0.3">
      <c r="B140" s="175"/>
      <c r="C140" s="175"/>
    </row>
    <row r="141" spans="2:3" s="176" customFormat="1" x14ac:dyDescent="0.3">
      <c r="B141" s="175"/>
      <c r="C141" s="175"/>
    </row>
    <row r="142" spans="2:3" s="176" customFormat="1" x14ac:dyDescent="0.3">
      <c r="B142" s="175"/>
      <c r="C142" s="175"/>
    </row>
    <row r="143" spans="2:3" s="176" customFormat="1" x14ac:dyDescent="0.3">
      <c r="B143" s="175"/>
      <c r="C143" s="175"/>
    </row>
    <row r="144" spans="2:3" s="176" customFormat="1" x14ac:dyDescent="0.3">
      <c r="B144" s="175"/>
      <c r="C144" s="175"/>
    </row>
    <row r="145" spans="2:3" s="176" customFormat="1" x14ac:dyDescent="0.3">
      <c r="B145" s="175"/>
      <c r="C145" s="175"/>
    </row>
    <row r="146" spans="2:3" s="176" customFormat="1" x14ac:dyDescent="0.3">
      <c r="B146" s="175"/>
      <c r="C146" s="175"/>
    </row>
    <row r="147" spans="2:3" s="176" customFormat="1" x14ac:dyDescent="0.3">
      <c r="B147" s="175"/>
      <c r="C147" s="175"/>
    </row>
    <row r="148" spans="2:3" s="176" customFormat="1" x14ac:dyDescent="0.3">
      <c r="B148" s="175"/>
      <c r="C148" s="175"/>
    </row>
    <row r="149" spans="2:3" s="176" customFormat="1" x14ac:dyDescent="0.3">
      <c r="B149" s="175"/>
      <c r="C149" s="175"/>
    </row>
    <row r="150" spans="2:3" s="176" customFormat="1" x14ac:dyDescent="0.3">
      <c r="B150" s="175"/>
      <c r="C150" s="175"/>
    </row>
    <row r="151" spans="2:3" s="176" customFormat="1" x14ac:dyDescent="0.3">
      <c r="B151" s="175"/>
      <c r="C151" s="175"/>
    </row>
    <row r="152" spans="2:3" s="176" customFormat="1" x14ac:dyDescent="0.3">
      <c r="B152" s="175"/>
      <c r="C152" s="175"/>
    </row>
    <row r="153" spans="2:3" s="176" customFormat="1" x14ac:dyDescent="0.3">
      <c r="B153" s="175"/>
      <c r="C153" s="175"/>
    </row>
    <row r="154" spans="2:3" s="176" customFormat="1" x14ac:dyDescent="0.3">
      <c r="B154" s="175"/>
      <c r="C154" s="175"/>
    </row>
    <row r="155" spans="2:3" s="176" customFormat="1" x14ac:dyDescent="0.3">
      <c r="B155" s="175"/>
      <c r="C155" s="175"/>
    </row>
    <row r="156" spans="2:3" s="176" customFormat="1" x14ac:dyDescent="0.3">
      <c r="B156" s="175"/>
      <c r="C156" s="175"/>
    </row>
    <row r="157" spans="2:3" s="176" customFormat="1" x14ac:dyDescent="0.3">
      <c r="B157" s="175"/>
      <c r="C157" s="175"/>
    </row>
    <row r="158" spans="2:3" s="176" customFormat="1" x14ac:dyDescent="0.3">
      <c r="B158" s="175"/>
      <c r="C158" s="175"/>
    </row>
    <row r="159" spans="2:3" s="176" customFormat="1" x14ac:dyDescent="0.3">
      <c r="B159" s="175"/>
      <c r="C159" s="175"/>
    </row>
    <row r="160" spans="2:3" s="176" customFormat="1" x14ac:dyDescent="0.3">
      <c r="B160" s="175"/>
      <c r="C160" s="175"/>
    </row>
    <row r="161" spans="1:30" s="176" customFormat="1" x14ac:dyDescent="0.3">
      <c r="B161" s="175"/>
      <c r="C161" s="175"/>
    </row>
    <row r="162" spans="1:30" s="176" customFormat="1" x14ac:dyDescent="0.3">
      <c r="B162" s="175"/>
      <c r="C162" s="175"/>
    </row>
    <row r="163" spans="1:30" s="176" customFormat="1" x14ac:dyDescent="0.3">
      <c r="B163" s="175"/>
      <c r="C163" s="175"/>
    </row>
    <row r="164" spans="1:30" s="176" customFormat="1" x14ac:dyDescent="0.3">
      <c r="B164" s="175"/>
      <c r="C164" s="175"/>
    </row>
    <row r="165" spans="1:30" s="176" customFormat="1" x14ac:dyDescent="0.3">
      <c r="B165" s="175"/>
      <c r="C165" s="175"/>
    </row>
    <row r="166" spans="1:30" s="176" customFormat="1" x14ac:dyDescent="0.3">
      <c r="B166" s="175"/>
      <c r="C166" s="175"/>
    </row>
    <row r="167" spans="1:30" s="176" customFormat="1" x14ac:dyDescent="0.3">
      <c r="B167" s="175"/>
      <c r="C167" s="175"/>
    </row>
    <row r="168" spans="1:30" s="176" customFormat="1" x14ac:dyDescent="0.3">
      <c r="B168" s="175"/>
      <c r="C168" s="175"/>
    </row>
    <row r="169" spans="1:30" s="176" customFormat="1" x14ac:dyDescent="0.3">
      <c r="B169" s="175"/>
      <c r="C169" s="175"/>
    </row>
    <row r="170" spans="1:30" s="176" customFormat="1" x14ac:dyDescent="0.3">
      <c r="B170" s="175"/>
      <c r="C170" s="175"/>
    </row>
    <row r="171" spans="1:30" x14ac:dyDescent="0.3">
      <c r="A171" s="180"/>
      <c r="B171" s="263"/>
      <c r="C171" s="263"/>
      <c r="D171" s="264"/>
      <c r="E171" s="264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</row>
    <row r="172" spans="1:30" x14ac:dyDescent="0.3">
      <c r="A172" s="180"/>
      <c r="B172" s="263"/>
      <c r="C172" s="263"/>
      <c r="D172" s="264"/>
      <c r="E172" s="264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</row>
    <row r="173" spans="1:30" x14ac:dyDescent="0.3">
      <c r="A173" s="180"/>
      <c r="B173" s="263"/>
      <c r="C173" s="263"/>
      <c r="D173" s="264"/>
      <c r="E173" s="264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</row>
    <row r="174" spans="1:30" x14ac:dyDescent="0.3">
      <c r="A174" s="180"/>
      <c r="B174" s="263"/>
      <c r="C174" s="263"/>
      <c r="D174" s="264"/>
      <c r="E174" s="264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</row>
    <row r="175" spans="1:30" x14ac:dyDescent="0.3">
      <c r="A175" s="180"/>
      <c r="B175" s="263"/>
      <c r="C175" s="263"/>
      <c r="D175" s="264"/>
      <c r="E175" s="264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</row>
    <row r="176" spans="1:30" x14ac:dyDescent="0.3">
      <c r="A176" s="180"/>
      <c r="B176" s="263"/>
      <c r="C176" s="263"/>
      <c r="D176" s="264"/>
      <c r="E176" s="264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</row>
    <row r="177" spans="1:30" x14ac:dyDescent="0.3">
      <c r="A177" s="180"/>
      <c r="B177" s="263"/>
      <c r="C177" s="263"/>
      <c r="D177" s="264"/>
      <c r="E177" s="264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</row>
    <row r="178" spans="1:30" x14ac:dyDescent="0.3">
      <c r="A178" s="180"/>
      <c r="B178" s="263"/>
      <c r="C178" s="263"/>
      <c r="D178" s="264"/>
      <c r="E178" s="264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</row>
    <row r="179" spans="1:30" x14ac:dyDescent="0.3">
      <c r="A179" s="180"/>
      <c r="B179" s="263"/>
      <c r="C179" s="263"/>
      <c r="D179" s="264"/>
      <c r="E179" s="264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</row>
    <row r="180" spans="1:30" x14ac:dyDescent="0.3">
      <c r="A180" s="180"/>
      <c r="B180" s="263"/>
      <c r="C180" s="263"/>
      <c r="D180" s="264"/>
      <c r="E180" s="264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</row>
    <row r="181" spans="1:30" x14ac:dyDescent="0.3">
      <c r="A181" s="180"/>
      <c r="B181" s="263"/>
      <c r="C181" s="263"/>
      <c r="D181" s="264"/>
      <c r="E181" s="264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</row>
    <row r="182" spans="1:30" x14ac:dyDescent="0.3">
      <c r="A182" s="180"/>
      <c r="B182" s="263"/>
      <c r="C182" s="263"/>
      <c r="D182" s="264"/>
      <c r="E182" s="264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</row>
    <row r="183" spans="1:30" x14ac:dyDescent="0.3">
      <c r="A183" s="180"/>
      <c r="B183" s="263"/>
      <c r="C183" s="263"/>
      <c r="D183" s="264"/>
      <c r="E183" s="264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</row>
    <row r="184" spans="1:30" x14ac:dyDescent="0.3">
      <c r="A184" s="180"/>
      <c r="B184" s="263"/>
      <c r="C184" s="263"/>
      <c r="D184" s="264"/>
      <c r="E184" s="264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</row>
    <row r="185" spans="1:30" x14ac:dyDescent="0.3">
      <c r="A185" s="180"/>
      <c r="B185" s="263"/>
      <c r="C185" s="263"/>
      <c r="D185" s="264"/>
      <c r="E185" s="264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</row>
    <row r="186" spans="1:30" x14ac:dyDescent="0.3">
      <c r="A186" s="180"/>
      <c r="B186" s="263"/>
      <c r="C186" s="263"/>
      <c r="D186" s="264"/>
      <c r="E186" s="264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</row>
    <row r="187" spans="1:30" x14ac:dyDescent="0.3">
      <c r="A187" s="180"/>
      <c r="B187" s="263"/>
      <c r="C187" s="263"/>
      <c r="D187" s="264"/>
      <c r="E187" s="264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</row>
    <row r="188" spans="1:30" x14ac:dyDescent="0.3">
      <c r="A188" s="180"/>
      <c r="B188" s="263"/>
      <c r="C188" s="263"/>
      <c r="D188" s="264"/>
      <c r="E188" s="264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</row>
    <row r="189" spans="1:30" x14ac:dyDescent="0.3">
      <c r="A189" s="180"/>
      <c r="B189" s="263"/>
      <c r="C189" s="263"/>
      <c r="D189" s="264"/>
      <c r="E189" s="264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</row>
    <row r="190" spans="1:30" x14ac:dyDescent="0.3">
      <c r="A190" s="180"/>
      <c r="B190" s="263"/>
      <c r="C190" s="263"/>
      <c r="D190" s="264"/>
      <c r="E190" s="264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</row>
    <row r="191" spans="1:30" x14ac:dyDescent="0.3">
      <c r="A191" s="180"/>
      <c r="B191" s="263"/>
      <c r="C191" s="263"/>
      <c r="D191" s="264"/>
      <c r="E191" s="264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</row>
    <row r="192" spans="1:30" x14ac:dyDescent="0.3">
      <c r="A192" s="180"/>
      <c r="B192" s="263"/>
      <c r="C192" s="263"/>
      <c r="D192" s="264"/>
      <c r="E192" s="264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</row>
    <row r="193" spans="1:30" x14ac:dyDescent="0.3">
      <c r="A193" s="180"/>
      <c r="B193" s="263"/>
      <c r="C193" s="263"/>
      <c r="D193" s="264"/>
      <c r="E193" s="264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</row>
    <row r="194" spans="1:30" x14ac:dyDescent="0.3">
      <c r="A194" s="180"/>
      <c r="B194" s="263"/>
      <c r="C194" s="263"/>
      <c r="D194" s="264"/>
      <c r="E194" s="264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</row>
    <row r="195" spans="1:30" x14ac:dyDescent="0.3">
      <c r="A195" s="180"/>
      <c r="B195" s="263"/>
      <c r="C195" s="263"/>
      <c r="D195" s="264"/>
      <c r="E195" s="264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</row>
    <row r="196" spans="1:30" x14ac:dyDescent="0.3">
      <c r="A196" s="180"/>
      <c r="B196" s="263"/>
      <c r="C196" s="263"/>
      <c r="D196" s="264"/>
      <c r="E196" s="264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</row>
    <row r="197" spans="1:30" x14ac:dyDescent="0.3">
      <c r="A197" s="180"/>
      <c r="B197" s="263"/>
      <c r="C197" s="263"/>
      <c r="D197" s="264"/>
      <c r="E197" s="264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</row>
    <row r="198" spans="1:30" x14ac:dyDescent="0.3">
      <c r="A198" s="180"/>
      <c r="B198" s="263"/>
      <c r="C198" s="263"/>
      <c r="D198" s="264"/>
      <c r="E198" s="264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</row>
    <row r="199" spans="1:30" x14ac:dyDescent="0.3">
      <c r="A199" s="180"/>
      <c r="B199" s="263"/>
      <c r="C199" s="263"/>
      <c r="D199" s="264"/>
      <c r="E199" s="264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</row>
    <row r="200" spans="1:30" x14ac:dyDescent="0.3">
      <c r="A200" s="180"/>
      <c r="B200" s="263"/>
      <c r="C200" s="263"/>
      <c r="D200" s="264"/>
      <c r="E200" s="264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</row>
    <row r="201" spans="1:30" x14ac:dyDescent="0.3">
      <c r="A201" s="180"/>
      <c r="B201" s="263"/>
      <c r="C201" s="263"/>
      <c r="D201" s="264"/>
      <c r="E201" s="264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</row>
    <row r="202" spans="1:30" x14ac:dyDescent="0.3">
      <c r="A202" s="180"/>
      <c r="B202" s="263"/>
      <c r="C202" s="263"/>
      <c r="D202" s="264"/>
      <c r="E202" s="264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</row>
    <row r="203" spans="1:30" x14ac:dyDescent="0.3">
      <c r="A203" s="180"/>
      <c r="B203" s="263"/>
      <c r="C203" s="263"/>
      <c r="D203" s="264"/>
      <c r="E203" s="264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</row>
    <row r="204" spans="1:30" x14ac:dyDescent="0.3">
      <c r="A204" s="180"/>
      <c r="B204" s="263"/>
      <c r="C204" s="263"/>
      <c r="D204" s="264"/>
      <c r="E204" s="264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</row>
    <row r="205" spans="1:30" x14ac:dyDescent="0.3">
      <c r="A205" s="180"/>
      <c r="B205" s="263"/>
      <c r="C205" s="263"/>
      <c r="D205" s="264"/>
      <c r="E205" s="264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</row>
    <row r="206" spans="1:30" x14ac:dyDescent="0.3">
      <c r="A206" s="180"/>
      <c r="B206" s="263"/>
      <c r="C206" s="263"/>
      <c r="D206" s="264"/>
      <c r="E206" s="264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</row>
    <row r="207" spans="1:30" x14ac:dyDescent="0.3">
      <c r="A207" s="180"/>
      <c r="B207" s="263"/>
      <c r="C207" s="263"/>
      <c r="D207" s="264"/>
      <c r="E207" s="264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</row>
    <row r="208" spans="1:30" x14ac:dyDescent="0.3">
      <c r="A208" s="180"/>
      <c r="B208" s="263"/>
      <c r="C208" s="263"/>
      <c r="D208" s="264"/>
      <c r="E208" s="264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</row>
    <row r="209" spans="1:30" x14ac:dyDescent="0.3">
      <c r="A209" s="180"/>
      <c r="B209" s="263"/>
      <c r="C209" s="263"/>
      <c r="D209" s="264"/>
      <c r="E209" s="264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</row>
    <row r="210" spans="1:30" x14ac:dyDescent="0.3">
      <c r="B210" s="265"/>
      <c r="C210" s="265"/>
      <c r="D210" s="266"/>
      <c r="E210" s="266"/>
    </row>
    <row r="211" spans="1:30" x14ac:dyDescent="0.3">
      <c r="B211" s="265"/>
      <c r="C211" s="265"/>
      <c r="D211" s="266"/>
      <c r="E211" s="266"/>
    </row>
    <row r="212" spans="1:30" x14ac:dyDescent="0.3">
      <c r="B212" s="265"/>
      <c r="C212" s="265"/>
      <c r="D212" s="266"/>
      <c r="E212" s="266"/>
    </row>
    <row r="213" spans="1:30" x14ac:dyDescent="0.3">
      <c r="B213" s="265"/>
      <c r="C213" s="265"/>
      <c r="D213" s="266"/>
      <c r="E213" s="266"/>
    </row>
    <row r="214" spans="1:30" x14ac:dyDescent="0.3">
      <c r="B214" s="265"/>
      <c r="C214" s="265"/>
      <c r="D214" s="266"/>
      <c r="E214" s="266"/>
    </row>
    <row r="215" spans="1:30" x14ac:dyDescent="0.3">
      <c r="B215" s="265"/>
      <c r="C215" s="265"/>
      <c r="D215" s="266"/>
      <c r="E215" s="266"/>
    </row>
  </sheetData>
  <dataConsolidate/>
  <mergeCells count="41">
    <mergeCell ref="A14:U14"/>
    <mergeCell ref="A15:U15"/>
    <mergeCell ref="A16:U16"/>
    <mergeCell ref="A17:U17"/>
    <mergeCell ref="A1:B1"/>
    <mergeCell ref="D2:F4"/>
    <mergeCell ref="H5:K5"/>
    <mergeCell ref="H6:K6"/>
    <mergeCell ref="H3:K3"/>
    <mergeCell ref="H4:K4"/>
    <mergeCell ref="B19:F19"/>
    <mergeCell ref="G19:K19"/>
    <mergeCell ref="BO19:BS19"/>
    <mergeCell ref="BT19:BX19"/>
    <mergeCell ref="AA19:AE19"/>
    <mergeCell ref="AF19:AJ19"/>
    <mergeCell ref="AK19:AO19"/>
    <mergeCell ref="AP19:AT19"/>
    <mergeCell ref="AU19:AY19"/>
    <mergeCell ref="AZ19:BD19"/>
    <mergeCell ref="BE19:BI19"/>
    <mergeCell ref="BJ19:BN19"/>
    <mergeCell ref="L19:P19"/>
    <mergeCell ref="Q19:U19"/>
    <mergeCell ref="V19:Z19"/>
    <mergeCell ref="H9:K9"/>
    <mergeCell ref="H2:M2"/>
    <mergeCell ref="DC19:DG19"/>
    <mergeCell ref="DM19:DQ19"/>
    <mergeCell ref="BY19:CC19"/>
    <mergeCell ref="CD19:CH19"/>
    <mergeCell ref="CI19:CM19"/>
    <mergeCell ref="CN19:CR19"/>
    <mergeCell ref="CX19:DB19"/>
    <mergeCell ref="DH19:DL19"/>
    <mergeCell ref="CS19:CW19"/>
    <mergeCell ref="H10:K10"/>
    <mergeCell ref="H11:K11"/>
    <mergeCell ref="H8:K8"/>
    <mergeCell ref="H7:K7"/>
    <mergeCell ref="A13:U13"/>
  </mergeCells>
  <hyperlinks>
    <hyperlink ref="A14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26"/>
  <sheetViews>
    <sheetView zoomScale="80" zoomScaleNormal="80" workbookViewId="0">
      <selection activeCell="U5" sqref="U5"/>
    </sheetView>
  </sheetViews>
  <sheetFormatPr defaultColWidth="6.7109375" defaultRowHeight="16.5" customHeight="1" x14ac:dyDescent="0.25"/>
  <cols>
    <col min="1" max="1" width="3.42578125" style="269" customWidth="1"/>
    <col min="2" max="2" width="52" style="269" bestFit="1" customWidth="1"/>
    <col min="3" max="3" width="14.85546875" style="293" bestFit="1" customWidth="1"/>
    <col min="4" max="4" width="9" style="269" bestFit="1" customWidth="1"/>
    <col min="5" max="5" width="52.140625" style="269" bestFit="1" customWidth="1"/>
    <col min="6" max="6" width="3.140625" style="269" customWidth="1"/>
    <col min="7" max="16384" width="6.7109375" style="269"/>
  </cols>
  <sheetData>
    <row r="1" spans="2:5" ht="16.5" customHeight="1" thickBot="1" x14ac:dyDescent="0.3">
      <c r="D1" s="270"/>
      <c r="E1" s="270"/>
    </row>
    <row r="2" spans="2:5" ht="16.5" customHeight="1" thickBot="1" x14ac:dyDescent="0.3">
      <c r="B2" s="340" t="s">
        <v>93</v>
      </c>
      <c r="C2" s="341"/>
      <c r="D2" s="341"/>
      <c r="E2" s="342"/>
    </row>
    <row r="3" spans="2:5" ht="16.5" customHeight="1" x14ac:dyDescent="0.25">
      <c r="B3" s="271" t="s">
        <v>8</v>
      </c>
      <c r="C3" s="294">
        <f>'Hearts Desire II'!L3</f>
        <v>6.9931696523062756</v>
      </c>
      <c r="D3" s="272" t="s">
        <v>9</v>
      </c>
      <c r="E3" s="273"/>
    </row>
    <row r="4" spans="2:5" ht="16.5" customHeight="1" thickBot="1" x14ac:dyDescent="0.3">
      <c r="B4" s="271" t="s">
        <v>10</v>
      </c>
      <c r="C4" s="294">
        <f>'Hearts Desire II'!L4</f>
        <v>2.2736983634749994</v>
      </c>
      <c r="D4" s="272" t="s">
        <v>9</v>
      </c>
      <c r="E4" s="273"/>
    </row>
    <row r="5" spans="2:5" ht="16.5" customHeight="1" x14ac:dyDescent="0.25">
      <c r="B5" s="274" t="s">
        <v>11</v>
      </c>
      <c r="C5" s="295">
        <f>'Hearts Desire II'!L5</f>
        <v>6.1784257298351486</v>
      </c>
      <c r="D5" s="275" t="s">
        <v>9</v>
      </c>
      <c r="E5" s="276"/>
    </row>
    <row r="6" spans="2:5" ht="16.5" customHeight="1" x14ac:dyDescent="0.25">
      <c r="B6" s="271" t="s">
        <v>12</v>
      </c>
      <c r="C6" s="294">
        <f>'Hearts Desire II'!L6</f>
        <v>2.0296765485193147</v>
      </c>
      <c r="D6" s="272" t="s">
        <v>9</v>
      </c>
      <c r="E6" s="273"/>
    </row>
    <row r="7" spans="2:5" ht="16.5" customHeight="1" x14ac:dyDescent="0.25">
      <c r="B7" s="271" t="s">
        <v>14</v>
      </c>
      <c r="C7" s="294">
        <f>'Hearts Desire II'!L8</f>
        <v>0.71633227290870005</v>
      </c>
      <c r="D7" s="272" t="s">
        <v>9</v>
      </c>
      <c r="E7" s="273"/>
    </row>
    <row r="8" spans="2:5" ht="16.5" customHeight="1" x14ac:dyDescent="0.25">
      <c r="B8" s="271" t="s">
        <v>15</v>
      </c>
      <c r="C8" s="294">
        <f>'Hearts Desire II'!L9</f>
        <v>0.66683527142499999</v>
      </c>
      <c r="D8" s="272" t="s">
        <v>9</v>
      </c>
      <c r="E8" s="273"/>
    </row>
    <row r="9" spans="2:5" ht="16.5" customHeight="1" x14ac:dyDescent="0.25">
      <c r="B9" s="271" t="s">
        <v>16</v>
      </c>
      <c r="C9" s="294">
        <f>'Hearts Desire II'!L10</f>
        <v>1.02213715</v>
      </c>
      <c r="D9" s="272" t="s">
        <v>9</v>
      </c>
      <c r="E9" s="273"/>
    </row>
    <row r="10" spans="2:5" ht="16.5" customHeight="1" thickBot="1" x14ac:dyDescent="0.3">
      <c r="B10" s="277" t="s">
        <v>17</v>
      </c>
      <c r="C10" s="296">
        <f>'Hearts Desire II'!L11</f>
        <v>0.75846405714748333</v>
      </c>
      <c r="D10" s="278" t="s">
        <v>9</v>
      </c>
      <c r="E10" s="279"/>
    </row>
    <row r="11" spans="2:5" ht="16.5" customHeight="1" thickBot="1" x14ac:dyDescent="0.3">
      <c r="B11" s="280"/>
      <c r="C11" s="297"/>
      <c r="D11" s="281"/>
      <c r="E11" s="281"/>
    </row>
    <row r="12" spans="2:5" ht="16.5" customHeight="1" thickBot="1" x14ac:dyDescent="0.3">
      <c r="B12" s="340" t="s">
        <v>18</v>
      </c>
      <c r="C12" s="341"/>
      <c r="D12" s="341"/>
      <c r="E12" s="342"/>
    </row>
    <row r="13" spans="2:5" ht="16.5" customHeight="1" x14ac:dyDescent="0.25">
      <c r="B13" s="271" t="s">
        <v>19</v>
      </c>
      <c r="C13" s="301">
        <f>C6*C7</f>
        <v>1.4539228152703261</v>
      </c>
      <c r="D13" s="272" t="s">
        <v>20</v>
      </c>
      <c r="E13" s="273" t="s">
        <v>139</v>
      </c>
    </row>
    <row r="14" spans="2:5" ht="16.5" customHeight="1" x14ac:dyDescent="0.25">
      <c r="B14" s="271" t="s">
        <v>74</v>
      </c>
      <c r="C14" s="301">
        <f>C6*C5*2/3</f>
        <v>8.3601372070764892</v>
      </c>
      <c r="D14" s="272" t="s">
        <v>20</v>
      </c>
      <c r="E14" s="273" t="s">
        <v>139</v>
      </c>
    </row>
    <row r="15" spans="2:5" ht="16.5" customHeight="1" x14ac:dyDescent="0.25">
      <c r="B15" s="271" t="s">
        <v>21</v>
      </c>
      <c r="C15" s="301">
        <f>C5*C6*C7*2/3</f>
        <v>5.9886360873736928</v>
      </c>
      <c r="D15" s="272" t="s">
        <v>22</v>
      </c>
      <c r="E15" s="273" t="s">
        <v>139</v>
      </c>
    </row>
    <row r="16" spans="2:5" ht="16.5" customHeight="1" x14ac:dyDescent="0.25">
      <c r="B16" s="271" t="s">
        <v>23</v>
      </c>
      <c r="C16" s="174">
        <f>C15*1025</f>
        <v>6138.3519895580348</v>
      </c>
      <c r="D16" s="272" t="s">
        <v>24</v>
      </c>
      <c r="E16" s="273" t="s">
        <v>139</v>
      </c>
    </row>
    <row r="17" spans="2:5" ht="16.5" customHeight="1" x14ac:dyDescent="0.25">
      <c r="B17" s="271" t="s">
        <v>25</v>
      </c>
      <c r="C17" s="301">
        <f>C15/(C5*C6*C7)</f>
        <v>0.66666666666666663</v>
      </c>
      <c r="D17" s="272"/>
      <c r="E17" s="273" t="s">
        <v>139</v>
      </c>
    </row>
    <row r="18" spans="2:5" ht="16.5" customHeight="1" x14ac:dyDescent="0.25">
      <c r="B18" s="271" t="s">
        <v>26</v>
      </c>
      <c r="C18" s="174">
        <f>C16/(C3/3.048)^3</f>
        <v>508.24660199148838</v>
      </c>
      <c r="D18" s="272"/>
      <c r="E18" s="273" t="s">
        <v>139</v>
      </c>
    </row>
    <row r="19" spans="2:5" ht="16.5" customHeight="1" x14ac:dyDescent="0.25">
      <c r="B19" s="271" t="s">
        <v>27</v>
      </c>
      <c r="C19" s="301">
        <f>1.34*(C5*3.28)^0.5</f>
        <v>6.0322681031941663</v>
      </c>
      <c r="D19" s="272" t="s">
        <v>28</v>
      </c>
      <c r="E19" s="273" t="s">
        <v>139</v>
      </c>
    </row>
    <row r="20" spans="2:5" ht="16.5" customHeight="1" x14ac:dyDescent="0.25">
      <c r="B20" s="271" t="s">
        <v>29</v>
      </c>
      <c r="C20" s="303">
        <v>3</v>
      </c>
      <c r="D20" s="272" t="s">
        <v>30</v>
      </c>
      <c r="E20" s="273" t="s">
        <v>75</v>
      </c>
    </row>
    <row r="21" spans="2:5" ht="16.5" customHeight="1" thickBot="1" x14ac:dyDescent="0.3">
      <c r="B21" s="277" t="s">
        <v>31</v>
      </c>
      <c r="C21" s="300">
        <f>C20*C16*9.81/1000/C14</f>
        <v>21.608700261495617</v>
      </c>
      <c r="D21" s="278" t="s">
        <v>34</v>
      </c>
      <c r="E21" s="291" t="str">
        <f>TEXT(MAX(6.5,13*C7+C5),"#0.0")&amp;"kPa Alternate Design Pressure"</f>
        <v>15.5kPa Alternate Design Pressure</v>
      </c>
    </row>
    <row r="22" spans="2:5" ht="16.5" customHeight="1" thickBot="1" x14ac:dyDescent="0.3"/>
    <row r="23" spans="2:5" ht="16.5" customHeight="1" thickBot="1" x14ac:dyDescent="0.3">
      <c r="B23" s="340" t="s">
        <v>173</v>
      </c>
      <c r="C23" s="341"/>
      <c r="D23" s="341"/>
      <c r="E23" s="342"/>
    </row>
    <row r="24" spans="2:5" ht="16.5" customHeight="1" x14ac:dyDescent="0.25">
      <c r="B24" s="282" t="s">
        <v>33</v>
      </c>
      <c r="C24" s="301">
        <f>C21</f>
        <v>21.608700261495617</v>
      </c>
      <c r="D24" s="272" t="s">
        <v>34</v>
      </c>
      <c r="E24" s="283"/>
    </row>
    <row r="25" spans="2:5" ht="16.5" customHeight="1" x14ac:dyDescent="0.25">
      <c r="B25" s="282" t="s">
        <v>35</v>
      </c>
      <c r="C25" s="304">
        <v>400</v>
      </c>
      <c r="D25" s="272" t="s">
        <v>6</v>
      </c>
      <c r="E25" s="283" t="s">
        <v>97</v>
      </c>
    </row>
    <row r="26" spans="2:5" ht="16.5" customHeight="1" x14ac:dyDescent="0.25">
      <c r="B26" s="284" t="s">
        <v>37</v>
      </c>
      <c r="C26" s="299">
        <f>Plywood!$C$14*1000</f>
        <v>14000</v>
      </c>
      <c r="D26" s="272" t="s">
        <v>34</v>
      </c>
      <c r="E26" s="273" t="s">
        <v>124</v>
      </c>
    </row>
    <row r="27" spans="2:5" ht="16.5" customHeight="1" x14ac:dyDescent="0.25">
      <c r="B27" s="282" t="s">
        <v>38</v>
      </c>
      <c r="C27" s="174">
        <f>(C24*C25*C25/C26/2)^0.5</f>
        <v>11.1120784378327</v>
      </c>
      <c r="D27" s="272" t="s">
        <v>6</v>
      </c>
      <c r="E27" s="283" t="s">
        <v>39</v>
      </c>
    </row>
    <row r="28" spans="2:5" ht="16.5" customHeight="1" x14ac:dyDescent="0.25">
      <c r="B28" s="282" t="s">
        <v>40</v>
      </c>
      <c r="C28" s="304">
        <v>12</v>
      </c>
      <c r="D28" s="272" t="s">
        <v>6</v>
      </c>
      <c r="E28" s="285"/>
    </row>
    <row r="29" spans="2:5" ht="16.5" customHeight="1" x14ac:dyDescent="0.25">
      <c r="B29" s="282" t="s">
        <v>41</v>
      </c>
      <c r="C29" s="299">
        <f>Plywood!$C$19*1000</f>
        <v>11700000</v>
      </c>
      <c r="D29" s="272" t="s">
        <v>34</v>
      </c>
      <c r="E29" s="283"/>
    </row>
    <row r="30" spans="2:5" ht="16.5" customHeight="1" x14ac:dyDescent="0.25">
      <c r="B30" s="282" t="s">
        <v>43</v>
      </c>
      <c r="C30" s="174">
        <f>1000*C28^3/12</f>
        <v>144000</v>
      </c>
      <c r="D30" s="272" t="s">
        <v>44</v>
      </c>
      <c r="E30" s="283"/>
    </row>
    <row r="31" spans="2:5" ht="16.5" customHeight="1" x14ac:dyDescent="0.25">
      <c r="B31" s="282" t="s">
        <v>45</v>
      </c>
      <c r="C31" s="301">
        <f>C24*C25^4/384/C29/C30</f>
        <v>8.5504511955902265E-4</v>
      </c>
      <c r="D31" s="272" t="s">
        <v>6</v>
      </c>
      <c r="E31" s="283" t="s">
        <v>46</v>
      </c>
    </row>
    <row r="32" spans="2:5" ht="16.5" customHeight="1" x14ac:dyDescent="0.25">
      <c r="B32" s="282" t="s">
        <v>47</v>
      </c>
      <c r="C32" s="174">
        <f>C25/C31</f>
        <v>467811.57023186603</v>
      </c>
      <c r="D32" s="272"/>
      <c r="E32" s="283"/>
    </row>
    <row r="33" spans="1:6" ht="16.5" customHeight="1" thickBot="1" x14ac:dyDescent="0.3">
      <c r="B33" s="286" t="s">
        <v>48</v>
      </c>
      <c r="C33" s="302">
        <f>C26*C28*C28/1000000</f>
        <v>2.016</v>
      </c>
      <c r="D33" s="287" t="s">
        <v>49</v>
      </c>
      <c r="E33" s="288" t="s">
        <v>50</v>
      </c>
    </row>
    <row r="34" spans="1:6" ht="16.5" customHeight="1" x14ac:dyDescent="0.25">
      <c r="B34" s="289"/>
      <c r="C34" s="298"/>
      <c r="D34" s="290"/>
      <c r="E34" s="270"/>
    </row>
    <row r="35" spans="1:6" ht="16.5" customHeight="1" x14ac:dyDescent="0.25">
      <c r="B35"/>
      <c r="C35"/>
      <c r="D35"/>
      <c r="E35"/>
      <c r="F35"/>
    </row>
    <row r="36" spans="1:6" ht="16.5" customHeight="1" x14ac:dyDescent="0.25">
      <c r="B36"/>
      <c r="C36"/>
      <c r="D36"/>
      <c r="E36"/>
      <c r="F36"/>
    </row>
    <row r="37" spans="1:6" ht="16.5" customHeight="1" x14ac:dyDescent="0.25">
      <c r="B37"/>
      <c r="C37"/>
      <c r="D37"/>
      <c r="E37"/>
      <c r="F37"/>
    </row>
    <row r="38" spans="1:6" ht="16.5" customHeight="1" x14ac:dyDescent="0.25">
      <c r="B38"/>
      <c r="C38"/>
      <c r="D38"/>
      <c r="E38"/>
      <c r="F38"/>
    </row>
    <row r="39" spans="1:6" ht="16.5" customHeight="1" x14ac:dyDescent="0.25">
      <c r="B39"/>
      <c r="C39"/>
      <c r="D39"/>
      <c r="E39"/>
      <c r="F39"/>
    </row>
    <row r="40" spans="1:6" ht="16.5" customHeight="1" x14ac:dyDescent="0.25">
      <c r="B40"/>
      <c r="C40"/>
      <c r="D40"/>
      <c r="E40"/>
      <c r="F40"/>
    </row>
    <row r="41" spans="1:6" ht="16.5" customHeight="1" x14ac:dyDescent="0.25">
      <c r="B41"/>
      <c r="C41"/>
      <c r="D41"/>
      <c r="E41"/>
      <c r="F41"/>
    </row>
    <row r="42" spans="1:6" ht="16.5" customHeight="1" x14ac:dyDescent="0.25">
      <c r="B42"/>
      <c r="C42"/>
      <c r="D42"/>
      <c r="E42"/>
      <c r="F42"/>
    </row>
    <row r="43" spans="1:6" ht="16.5" customHeight="1" x14ac:dyDescent="0.25">
      <c r="A43"/>
      <c r="B43"/>
      <c r="C43"/>
      <c r="D43"/>
      <c r="E43"/>
    </row>
    <row r="44" spans="1:6" ht="16.5" customHeight="1" x14ac:dyDescent="0.25">
      <c r="A44"/>
      <c r="B44"/>
      <c r="C44"/>
      <c r="D44"/>
      <c r="E44"/>
    </row>
    <row r="45" spans="1:6" ht="16.5" customHeight="1" x14ac:dyDescent="0.25">
      <c r="A45"/>
      <c r="B45"/>
      <c r="C45"/>
      <c r="D45"/>
      <c r="E45"/>
    </row>
    <row r="46" spans="1:6" ht="16.5" customHeight="1" x14ac:dyDescent="0.25">
      <c r="A46"/>
      <c r="B46"/>
      <c r="C46"/>
      <c r="D46"/>
      <c r="E46"/>
    </row>
    <row r="47" spans="1:6" ht="16.5" customHeight="1" x14ac:dyDescent="0.25">
      <c r="A47"/>
      <c r="B47"/>
      <c r="C47"/>
      <c r="D47"/>
      <c r="E47"/>
    </row>
    <row r="48" spans="1:6" ht="16.5" customHeight="1" x14ac:dyDescent="0.25">
      <c r="A48"/>
      <c r="B48"/>
      <c r="C48"/>
      <c r="D48"/>
      <c r="E48"/>
    </row>
    <row r="49" spans="1:5" ht="16.5" customHeight="1" x14ac:dyDescent="0.25">
      <c r="A49"/>
      <c r="B49"/>
      <c r="C49"/>
      <c r="D49"/>
      <c r="E49"/>
    </row>
    <row r="50" spans="1:5" ht="16.5" customHeight="1" x14ac:dyDescent="0.25">
      <c r="A50"/>
      <c r="B50"/>
      <c r="C50"/>
      <c r="D50"/>
      <c r="E50"/>
    </row>
    <row r="51" spans="1:5" ht="16.5" customHeight="1" x14ac:dyDescent="0.25">
      <c r="A51"/>
      <c r="B51"/>
      <c r="C51"/>
      <c r="D51"/>
      <c r="E51"/>
    </row>
    <row r="52" spans="1:5" ht="16.5" customHeight="1" x14ac:dyDescent="0.25">
      <c r="A52"/>
      <c r="B52"/>
      <c r="C52"/>
      <c r="D52"/>
      <c r="E52"/>
    </row>
    <row r="53" spans="1:5" ht="16.5" customHeight="1" x14ac:dyDescent="0.25">
      <c r="A53"/>
      <c r="B53"/>
      <c r="C53"/>
      <c r="D53"/>
      <c r="E53"/>
    </row>
    <row r="54" spans="1:5" ht="16.5" customHeight="1" x14ac:dyDescent="0.25">
      <c r="A54"/>
      <c r="B54"/>
      <c r="C54"/>
      <c r="D54"/>
      <c r="E54"/>
    </row>
    <row r="55" spans="1:5" ht="16.5" customHeight="1" x14ac:dyDescent="0.25">
      <c r="A55"/>
      <c r="B55"/>
      <c r="C55"/>
      <c r="D55"/>
      <c r="E55"/>
    </row>
    <row r="56" spans="1:5" ht="16.5" customHeight="1" x14ac:dyDescent="0.25">
      <c r="A56"/>
      <c r="B56"/>
      <c r="C56"/>
      <c r="D56"/>
      <c r="E56"/>
    </row>
    <row r="57" spans="1:5" ht="16.5" customHeight="1" x14ac:dyDescent="0.25">
      <c r="A57"/>
      <c r="B57"/>
      <c r="C57"/>
      <c r="D57"/>
      <c r="E57"/>
    </row>
    <row r="58" spans="1:5" ht="16.5" customHeight="1" x14ac:dyDescent="0.25">
      <c r="A58"/>
      <c r="B58"/>
      <c r="C58"/>
      <c r="D58"/>
      <c r="E58"/>
    </row>
    <row r="59" spans="1:5" ht="16.5" customHeight="1" x14ac:dyDescent="0.25">
      <c r="A59"/>
      <c r="B59"/>
      <c r="C59"/>
      <c r="D59"/>
      <c r="E59"/>
    </row>
    <row r="60" spans="1:5" ht="16.5" customHeight="1" x14ac:dyDescent="0.25">
      <c r="A60"/>
      <c r="B60"/>
      <c r="C60"/>
      <c r="D60"/>
      <c r="E60"/>
    </row>
    <row r="61" spans="1:5" ht="16.5" customHeight="1" x14ac:dyDescent="0.25">
      <c r="A61"/>
      <c r="B61"/>
      <c r="C61"/>
      <c r="D61"/>
      <c r="E61"/>
    </row>
    <row r="62" spans="1:5" ht="16.5" customHeight="1" x14ac:dyDescent="0.25">
      <c r="A62"/>
      <c r="B62"/>
      <c r="C62"/>
      <c r="D62"/>
      <c r="E62"/>
    </row>
    <row r="63" spans="1:5" ht="16.5" customHeight="1" x14ac:dyDescent="0.25">
      <c r="A63"/>
      <c r="B63"/>
      <c r="C63"/>
      <c r="D63"/>
      <c r="E63"/>
    </row>
    <row r="64" spans="1:5" ht="16.5" customHeight="1" x14ac:dyDescent="0.25">
      <c r="A64"/>
      <c r="B64"/>
      <c r="C64"/>
      <c r="D64"/>
      <c r="E64"/>
    </row>
    <row r="65" spans="1:5" ht="16.5" customHeight="1" x14ac:dyDescent="0.25">
      <c r="A65"/>
      <c r="B65"/>
      <c r="C65"/>
      <c r="D65"/>
      <c r="E65"/>
    </row>
    <row r="66" spans="1:5" ht="16.5" customHeight="1" x14ac:dyDescent="0.25">
      <c r="A66"/>
      <c r="B66"/>
      <c r="C66"/>
      <c r="D66"/>
      <c r="E66"/>
    </row>
    <row r="67" spans="1:5" ht="16.5" customHeight="1" x14ac:dyDescent="0.25">
      <c r="A67"/>
      <c r="B67"/>
      <c r="C67"/>
      <c r="D67"/>
      <c r="E67"/>
    </row>
    <row r="68" spans="1:5" ht="16.5" customHeight="1" x14ac:dyDescent="0.25">
      <c r="A68"/>
      <c r="B68"/>
      <c r="C68"/>
      <c r="D68"/>
      <c r="E68"/>
    </row>
    <row r="69" spans="1:5" ht="16.5" customHeight="1" x14ac:dyDescent="0.25">
      <c r="A69"/>
      <c r="B69"/>
      <c r="C69"/>
      <c r="D69"/>
      <c r="E69"/>
    </row>
    <row r="70" spans="1:5" ht="16.5" customHeight="1" x14ac:dyDescent="0.25">
      <c r="A70"/>
      <c r="B70"/>
      <c r="C70"/>
      <c r="D70"/>
      <c r="E70"/>
    </row>
    <row r="71" spans="1:5" ht="16.5" customHeight="1" x14ac:dyDescent="0.25">
      <c r="A71"/>
      <c r="B71"/>
      <c r="C71"/>
      <c r="D71"/>
      <c r="E71"/>
    </row>
    <row r="72" spans="1:5" ht="16.5" customHeight="1" x14ac:dyDescent="0.25">
      <c r="A72"/>
      <c r="B72"/>
      <c r="C72"/>
      <c r="D72"/>
      <c r="E72"/>
    </row>
    <row r="73" spans="1:5" ht="16.5" customHeight="1" x14ac:dyDescent="0.25">
      <c r="A73"/>
      <c r="B73"/>
      <c r="C73"/>
      <c r="D73"/>
      <c r="E73"/>
    </row>
    <row r="74" spans="1:5" ht="16.5" customHeight="1" x14ac:dyDescent="0.25">
      <c r="A74"/>
      <c r="B74"/>
      <c r="C74"/>
      <c r="D74"/>
      <c r="E74"/>
    </row>
    <row r="75" spans="1:5" ht="16.5" customHeight="1" x14ac:dyDescent="0.25">
      <c r="A75"/>
      <c r="B75"/>
      <c r="C75"/>
      <c r="D75"/>
      <c r="E75"/>
    </row>
    <row r="76" spans="1:5" ht="16.5" customHeight="1" x14ac:dyDescent="0.25">
      <c r="A76"/>
      <c r="B76"/>
      <c r="C76"/>
      <c r="D76"/>
      <c r="E76"/>
    </row>
    <row r="77" spans="1:5" ht="16.5" customHeight="1" x14ac:dyDescent="0.25">
      <c r="A77"/>
      <c r="B77"/>
      <c r="C77"/>
      <c r="D77"/>
      <c r="E77"/>
    </row>
    <row r="78" spans="1:5" ht="16.5" customHeight="1" x14ac:dyDescent="0.25">
      <c r="A78"/>
      <c r="B78"/>
      <c r="C78"/>
      <c r="D78"/>
      <c r="E78"/>
    </row>
    <row r="79" spans="1:5" ht="16.5" customHeight="1" x14ac:dyDescent="0.25">
      <c r="A79"/>
      <c r="B79"/>
      <c r="C79"/>
      <c r="D79"/>
      <c r="E79"/>
    </row>
    <row r="80" spans="1:5" ht="16.5" customHeight="1" x14ac:dyDescent="0.25">
      <c r="A80"/>
      <c r="B80"/>
      <c r="C80"/>
      <c r="D80"/>
      <c r="E80"/>
    </row>
    <row r="81" spans="1:6" ht="16.5" customHeight="1" x14ac:dyDescent="0.25">
      <c r="A81"/>
      <c r="B81"/>
      <c r="C81"/>
      <c r="D81"/>
      <c r="E81"/>
    </row>
    <row r="82" spans="1:6" ht="16.5" customHeight="1" x14ac:dyDescent="0.25">
      <c r="A82"/>
      <c r="B82"/>
      <c r="C82"/>
      <c r="D82"/>
      <c r="E82"/>
    </row>
    <row r="83" spans="1:6" ht="16.5" customHeight="1" x14ac:dyDescent="0.25">
      <c r="A83"/>
      <c r="B83"/>
      <c r="C83"/>
      <c r="D83"/>
      <c r="E83"/>
    </row>
    <row r="84" spans="1:6" ht="16.5" customHeight="1" x14ac:dyDescent="0.25">
      <c r="A84"/>
      <c r="B84"/>
      <c r="C84"/>
      <c r="D84"/>
      <c r="E84"/>
    </row>
    <row r="85" spans="1:6" ht="16.5" customHeight="1" x14ac:dyDescent="0.25">
      <c r="A85"/>
      <c r="B85"/>
      <c r="C85"/>
      <c r="D85"/>
      <c r="E85"/>
    </row>
    <row r="86" spans="1:6" ht="16.5" customHeight="1" x14ac:dyDescent="0.25">
      <c r="A86"/>
      <c r="B86"/>
      <c r="C86"/>
      <c r="D86"/>
      <c r="E86"/>
    </row>
    <row r="87" spans="1:6" ht="16.5" customHeight="1" x14ac:dyDescent="0.25">
      <c r="A87"/>
      <c r="B87"/>
      <c r="C87"/>
      <c r="D87"/>
      <c r="E87"/>
    </row>
    <row r="88" spans="1:6" ht="16.5" customHeight="1" x14ac:dyDescent="0.25">
      <c r="A88"/>
      <c r="B88"/>
      <c r="C88"/>
      <c r="D88"/>
      <c r="E88"/>
    </row>
    <row r="89" spans="1:6" ht="16.5" customHeight="1" x14ac:dyDescent="0.25">
      <c r="A89"/>
      <c r="B89"/>
      <c r="C89"/>
      <c r="D89"/>
      <c r="E89"/>
    </row>
    <row r="90" spans="1:6" ht="16.5" customHeight="1" x14ac:dyDescent="0.25">
      <c r="A90"/>
      <c r="B90"/>
      <c r="C90"/>
      <c r="D90"/>
      <c r="E90"/>
    </row>
    <row r="91" spans="1:6" s="270" customFormat="1" ht="16.5" customHeight="1" x14ac:dyDescent="0.25">
      <c r="A91"/>
      <c r="B91"/>
      <c r="C91"/>
      <c r="D91"/>
      <c r="E91"/>
    </row>
    <row r="92" spans="1:6" ht="16.5" customHeight="1" x14ac:dyDescent="0.25">
      <c r="A92"/>
      <c r="B92"/>
      <c r="C92"/>
      <c r="D92"/>
      <c r="E92"/>
      <c r="F92" s="292"/>
    </row>
    <row r="93" spans="1:6" ht="16.5" customHeight="1" x14ac:dyDescent="0.25">
      <c r="A93"/>
      <c r="B93"/>
      <c r="C93"/>
      <c r="D93"/>
      <c r="E93"/>
      <c r="F93" s="292"/>
    </row>
    <row r="94" spans="1:6" ht="16.5" customHeight="1" x14ac:dyDescent="0.25">
      <c r="A94"/>
      <c r="B94"/>
      <c r="C94"/>
      <c r="D94"/>
      <c r="E94"/>
      <c r="F94" s="292"/>
    </row>
    <row r="95" spans="1:6" ht="16.5" customHeight="1" x14ac:dyDescent="0.25">
      <c r="A95"/>
      <c r="B95"/>
      <c r="C95"/>
      <c r="D95"/>
      <c r="E95"/>
      <c r="F95" s="292"/>
    </row>
    <row r="96" spans="1:6" ht="16.5" customHeight="1" x14ac:dyDescent="0.25">
      <c r="A96"/>
      <c r="B96"/>
      <c r="C96"/>
      <c r="D96"/>
      <c r="E96"/>
      <c r="F96" s="292"/>
    </row>
    <row r="97" spans="1:6" ht="16.5" customHeight="1" x14ac:dyDescent="0.25">
      <c r="A97"/>
      <c r="B97"/>
      <c r="C97"/>
      <c r="D97"/>
      <c r="E97"/>
      <c r="F97" s="292"/>
    </row>
    <row r="98" spans="1:6" ht="16.5" customHeight="1" x14ac:dyDescent="0.25">
      <c r="A98"/>
      <c r="B98"/>
      <c r="C98"/>
      <c r="D98"/>
      <c r="E98"/>
      <c r="F98" s="292"/>
    </row>
    <row r="99" spans="1:6" ht="16.5" customHeight="1" x14ac:dyDescent="0.25">
      <c r="A99"/>
      <c r="B99"/>
      <c r="C99"/>
      <c r="D99"/>
      <c r="E99"/>
      <c r="F99" s="292"/>
    </row>
    <row r="100" spans="1:6" ht="16.5" customHeight="1" x14ac:dyDescent="0.25">
      <c r="A100"/>
      <c r="B100"/>
      <c r="C100"/>
      <c r="D100"/>
      <c r="E100"/>
      <c r="F100" s="292"/>
    </row>
    <row r="101" spans="1:6" ht="16.5" customHeight="1" x14ac:dyDescent="0.25">
      <c r="A101"/>
      <c r="B101"/>
      <c r="C101"/>
      <c r="D101"/>
      <c r="E101"/>
      <c r="F101" s="292"/>
    </row>
    <row r="102" spans="1:6" ht="16.5" customHeight="1" x14ac:dyDescent="0.25">
      <c r="A102"/>
      <c r="B102"/>
      <c r="C102"/>
      <c r="D102"/>
      <c r="E102"/>
      <c r="F102" s="292"/>
    </row>
    <row r="103" spans="1:6" ht="16.5" customHeight="1" x14ac:dyDescent="0.25">
      <c r="A103"/>
      <c r="B103"/>
      <c r="C103"/>
      <c r="D103"/>
      <c r="E103"/>
      <c r="F103" s="292"/>
    </row>
    <row r="104" spans="1:6" ht="16.5" customHeight="1" x14ac:dyDescent="0.25">
      <c r="A104"/>
      <c r="B104"/>
      <c r="C104"/>
      <c r="D104"/>
      <c r="E104"/>
      <c r="F104" s="292"/>
    </row>
    <row r="105" spans="1:6" ht="16.5" customHeight="1" x14ac:dyDescent="0.25">
      <c r="A105"/>
      <c r="B105"/>
      <c r="C105"/>
      <c r="D105"/>
      <c r="E105"/>
      <c r="F105" s="292"/>
    </row>
    <row r="106" spans="1:6" ht="16.5" customHeight="1" x14ac:dyDescent="0.25">
      <c r="A106"/>
      <c r="B106"/>
      <c r="C106"/>
      <c r="D106"/>
      <c r="E106"/>
      <c r="F106" s="292"/>
    </row>
    <row r="107" spans="1:6" ht="16.5" customHeight="1" x14ac:dyDescent="0.25">
      <c r="A107"/>
      <c r="B107"/>
      <c r="C107"/>
      <c r="D107"/>
      <c r="E107"/>
      <c r="F107" s="292"/>
    </row>
    <row r="108" spans="1:6" ht="16.5" customHeight="1" x14ac:dyDescent="0.25">
      <c r="A108"/>
      <c r="B108"/>
      <c r="C108"/>
      <c r="D108"/>
      <c r="E108"/>
      <c r="F108" s="292"/>
    </row>
    <row r="109" spans="1:6" ht="16.5" customHeight="1" x14ac:dyDescent="0.25">
      <c r="A109"/>
      <c r="B109"/>
      <c r="C109"/>
      <c r="D109"/>
      <c r="E109"/>
      <c r="F109" s="292"/>
    </row>
    <row r="110" spans="1:6" ht="16.5" customHeight="1" x14ac:dyDescent="0.25">
      <c r="A110"/>
      <c r="B110"/>
      <c r="C110"/>
      <c r="D110"/>
      <c r="E110"/>
      <c r="F110" s="292"/>
    </row>
    <row r="111" spans="1:6" ht="16.5" customHeight="1" x14ac:dyDescent="0.25">
      <c r="A111"/>
      <c r="B111"/>
      <c r="C111"/>
      <c r="D111"/>
      <c r="E111"/>
      <c r="F111" s="292"/>
    </row>
    <row r="112" spans="1:6" ht="16.5" customHeight="1" x14ac:dyDescent="0.25">
      <c r="A112"/>
      <c r="B112"/>
      <c r="C112"/>
      <c r="D112"/>
      <c r="E112"/>
      <c r="F112" s="292"/>
    </row>
    <row r="113" spans="1:6" ht="16.5" customHeight="1" x14ac:dyDescent="0.25">
      <c r="A113"/>
      <c r="B113"/>
      <c r="C113"/>
      <c r="D113"/>
      <c r="E113"/>
      <c r="F113" s="292"/>
    </row>
    <row r="114" spans="1:6" ht="16.5" customHeight="1" x14ac:dyDescent="0.25">
      <c r="A114"/>
      <c r="B114"/>
      <c r="C114"/>
      <c r="D114"/>
      <c r="E114"/>
      <c r="F114" s="292"/>
    </row>
    <row r="115" spans="1:6" ht="16.5" customHeight="1" x14ac:dyDescent="0.25">
      <c r="A115"/>
      <c r="B115"/>
      <c r="C115"/>
      <c r="D115"/>
      <c r="E115"/>
    </row>
    <row r="116" spans="1:6" ht="16.5" customHeight="1" x14ac:dyDescent="0.25">
      <c r="A116"/>
      <c r="B116"/>
      <c r="C116"/>
      <c r="D116"/>
      <c r="E116"/>
    </row>
    <row r="117" spans="1:6" ht="16.5" customHeight="1" x14ac:dyDescent="0.25">
      <c r="A117"/>
      <c r="B117"/>
      <c r="C117"/>
      <c r="D117"/>
      <c r="E117"/>
    </row>
    <row r="118" spans="1:6" ht="16.5" customHeight="1" x14ac:dyDescent="0.25">
      <c r="A118"/>
      <c r="B118"/>
      <c r="C118"/>
      <c r="D118"/>
      <c r="E118"/>
    </row>
    <row r="119" spans="1:6" ht="16.5" customHeight="1" x14ac:dyDescent="0.25">
      <c r="A119"/>
      <c r="B119"/>
      <c r="C119"/>
      <c r="D119"/>
      <c r="E119"/>
    </row>
    <row r="120" spans="1:6" ht="16.5" customHeight="1" x14ac:dyDescent="0.25">
      <c r="A120"/>
      <c r="B120"/>
      <c r="C120"/>
      <c r="D120"/>
      <c r="E120"/>
    </row>
    <row r="121" spans="1:6" ht="16.5" customHeight="1" x14ac:dyDescent="0.25">
      <c r="A121"/>
      <c r="B121"/>
      <c r="C121"/>
      <c r="D121"/>
      <c r="E121"/>
    </row>
    <row r="122" spans="1:6" ht="16.5" customHeight="1" x14ac:dyDescent="0.25">
      <c r="A122"/>
      <c r="B122"/>
      <c r="C122"/>
      <c r="D122"/>
      <c r="E122"/>
    </row>
    <row r="123" spans="1:6" ht="16.5" customHeight="1" x14ac:dyDescent="0.25">
      <c r="A123"/>
      <c r="B123"/>
      <c r="C123"/>
      <c r="D123"/>
      <c r="E123"/>
    </row>
    <row r="124" spans="1:6" ht="16.5" customHeight="1" x14ac:dyDescent="0.25">
      <c r="A124"/>
      <c r="B124"/>
      <c r="C124"/>
      <c r="D124"/>
      <c r="E124"/>
    </row>
    <row r="125" spans="1:6" ht="16.5" customHeight="1" x14ac:dyDescent="0.25">
      <c r="A125"/>
      <c r="B125"/>
      <c r="C125"/>
      <c r="D125"/>
      <c r="E125"/>
    </row>
    <row r="126" spans="1:6" ht="16.5" customHeight="1" x14ac:dyDescent="0.25">
      <c r="A126"/>
      <c r="B126"/>
      <c r="C126"/>
      <c r="D126"/>
      <c r="E126"/>
    </row>
  </sheetData>
  <mergeCells count="3">
    <mergeCell ref="B2:E2"/>
    <mergeCell ref="B12:E12"/>
    <mergeCell ref="B23:E23"/>
  </mergeCells>
  <pageMargins left="0.35433070866141736" right="0.35433070866141736" top="0.35433070866141736" bottom="0.35433070866141736" header="0.35433070866141736" footer="0.35433070866141736"/>
  <pageSetup paperSize="9" scale="89" fitToHeight="2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3"/>
  <sheetViews>
    <sheetView workbookViewId="0">
      <selection activeCell="D40" sqref="D40"/>
    </sheetView>
  </sheetViews>
  <sheetFormatPr defaultRowHeight="15" x14ac:dyDescent="0.25"/>
  <cols>
    <col min="1" max="1" width="45.7109375" bestFit="1" customWidth="1"/>
    <col min="2" max="2" width="10.42578125" bestFit="1" customWidth="1"/>
    <col min="3" max="3" width="10.7109375" bestFit="1" customWidth="1"/>
    <col min="4" max="4" width="22" bestFit="1" customWidth="1"/>
    <col min="5" max="5" width="18.5703125" bestFit="1" customWidth="1"/>
    <col min="6" max="6" width="10.42578125" bestFit="1" customWidth="1"/>
    <col min="7" max="7" width="10.7109375" bestFit="1" customWidth="1"/>
    <col min="8" max="8" width="8.140625" bestFit="1" customWidth="1"/>
  </cols>
  <sheetData>
    <row r="1" spans="1:8" ht="15.75" thickBot="1" x14ac:dyDescent="0.3">
      <c r="A1" s="119" t="s">
        <v>143</v>
      </c>
      <c r="B1" s="62"/>
      <c r="C1" s="120"/>
      <c r="D1" s="121"/>
      <c r="E1" s="122"/>
      <c r="F1" s="122"/>
      <c r="G1" s="122"/>
      <c r="H1" s="123"/>
    </row>
    <row r="2" spans="1:8" ht="42.75" x14ac:dyDescent="0.25">
      <c r="A2" s="124" t="s">
        <v>144</v>
      </c>
      <c r="B2" s="125" t="s">
        <v>145</v>
      </c>
      <c r="C2" s="126" t="s">
        <v>146</v>
      </c>
      <c r="D2" s="127" t="s">
        <v>147</v>
      </c>
      <c r="E2" s="126" t="s">
        <v>148</v>
      </c>
      <c r="F2" s="126" t="s">
        <v>149</v>
      </c>
      <c r="G2" s="126" t="s">
        <v>150</v>
      </c>
      <c r="H2" s="128" t="s">
        <v>151</v>
      </c>
    </row>
    <row r="3" spans="1:8" x14ac:dyDescent="0.25">
      <c r="A3" s="129" t="s">
        <v>152</v>
      </c>
      <c r="B3" s="130">
        <v>100</v>
      </c>
      <c r="C3" s="131">
        <v>60</v>
      </c>
      <c r="D3" s="132">
        <f>$B3*9%+2.5</f>
        <v>11.5</v>
      </c>
      <c r="E3" s="131">
        <v>75</v>
      </c>
      <c r="F3" s="131">
        <v>31</v>
      </c>
      <c r="G3" s="131">
        <v>21500</v>
      </c>
      <c r="H3" s="133">
        <v>1075</v>
      </c>
    </row>
    <row r="4" spans="1:8" x14ac:dyDescent="0.25">
      <c r="A4" s="129" t="s">
        <v>153</v>
      </c>
      <c r="B4" s="130">
        <v>80</v>
      </c>
      <c r="C4" s="131">
        <v>50</v>
      </c>
      <c r="D4" s="132">
        <f>$B4*9%+2.5</f>
        <v>9.6999999999999993</v>
      </c>
      <c r="E4" s="131">
        <v>60</v>
      </c>
      <c r="F4" s="131">
        <v>27</v>
      </c>
      <c r="G4" s="131">
        <v>18500</v>
      </c>
      <c r="H4" s="133">
        <v>925</v>
      </c>
    </row>
    <row r="5" spans="1:8" x14ac:dyDescent="0.25">
      <c r="A5" s="129" t="s">
        <v>154</v>
      </c>
      <c r="B5" s="130">
        <v>65</v>
      </c>
      <c r="C5" s="131">
        <v>40</v>
      </c>
      <c r="D5" s="132">
        <f>$B5*9%+2.5</f>
        <v>8.35</v>
      </c>
      <c r="E5" s="131">
        <v>50</v>
      </c>
      <c r="F5" s="131">
        <v>23</v>
      </c>
      <c r="G5" s="131">
        <v>16000</v>
      </c>
      <c r="H5" s="133">
        <v>800</v>
      </c>
    </row>
    <row r="6" spans="1:8" x14ac:dyDescent="0.25">
      <c r="A6" s="129" t="s">
        <v>155</v>
      </c>
      <c r="B6" s="130">
        <v>50</v>
      </c>
      <c r="C6" s="131">
        <v>30</v>
      </c>
      <c r="D6" s="134">
        <v>6.8</v>
      </c>
      <c r="E6" s="131">
        <v>40</v>
      </c>
      <c r="F6" s="131">
        <v>20</v>
      </c>
      <c r="G6" s="131">
        <v>14000</v>
      </c>
      <c r="H6" s="133">
        <v>700</v>
      </c>
    </row>
    <row r="7" spans="1:8" x14ac:dyDescent="0.25">
      <c r="A7" s="129" t="s">
        <v>156</v>
      </c>
      <c r="B7" s="130">
        <v>40</v>
      </c>
      <c r="C7" s="131">
        <v>25</v>
      </c>
      <c r="D7" s="135">
        <v>6.1</v>
      </c>
      <c r="E7" s="131">
        <v>30</v>
      </c>
      <c r="F7" s="131">
        <v>15</v>
      </c>
      <c r="G7" s="131">
        <v>12000</v>
      </c>
      <c r="H7" s="133">
        <v>625</v>
      </c>
    </row>
    <row r="8" spans="1:8" x14ac:dyDescent="0.25">
      <c r="A8" s="129" t="s">
        <v>157</v>
      </c>
      <c r="B8" s="130">
        <v>35</v>
      </c>
      <c r="C8" s="131">
        <v>20</v>
      </c>
      <c r="D8" s="135">
        <v>5.3</v>
      </c>
      <c r="E8" s="131">
        <v>25</v>
      </c>
      <c r="F8" s="131">
        <v>12</v>
      </c>
      <c r="G8" s="131">
        <v>10500</v>
      </c>
      <c r="H8" s="133">
        <v>525</v>
      </c>
    </row>
    <row r="9" spans="1:8" x14ac:dyDescent="0.25">
      <c r="A9" s="129" t="s">
        <v>158</v>
      </c>
      <c r="B9" s="130">
        <v>25</v>
      </c>
      <c r="C9" s="131">
        <v>15</v>
      </c>
      <c r="D9" s="135">
        <v>4.7</v>
      </c>
      <c r="E9" s="131">
        <v>20</v>
      </c>
      <c r="F9" s="131">
        <v>9.6999999999999993</v>
      </c>
      <c r="G9" s="131">
        <v>9100</v>
      </c>
      <c r="H9" s="133">
        <v>455</v>
      </c>
    </row>
    <row r="10" spans="1:8" ht="15.75" thickBot="1" x14ac:dyDescent="0.3">
      <c r="A10" s="136" t="s">
        <v>159</v>
      </c>
      <c r="B10" s="137">
        <v>20</v>
      </c>
      <c r="C10" s="138">
        <v>12</v>
      </c>
      <c r="D10" s="139">
        <v>4.2</v>
      </c>
      <c r="E10" s="138">
        <v>15</v>
      </c>
      <c r="F10" s="138">
        <v>7.7</v>
      </c>
      <c r="G10" s="138">
        <v>7900</v>
      </c>
      <c r="H10" s="140">
        <v>345</v>
      </c>
    </row>
    <row r="11" spans="1:8" ht="15.75" thickBot="1" x14ac:dyDescent="0.3">
      <c r="A11" s="141" t="s">
        <v>160</v>
      </c>
      <c r="B11" s="142">
        <v>40</v>
      </c>
      <c r="C11" s="143">
        <f>$B11*60%</f>
        <v>24</v>
      </c>
      <c r="D11" s="144">
        <f>$B11*9%+2.5</f>
        <v>6.1</v>
      </c>
      <c r="E11" s="143">
        <f>$B11*75%</f>
        <v>30</v>
      </c>
      <c r="F11" s="143">
        <f>$B11*37.5%</f>
        <v>15</v>
      </c>
      <c r="G11" s="143">
        <f>170*B11+4900</f>
        <v>11700</v>
      </c>
      <c r="H11" s="145">
        <f>G11/20</f>
        <v>585</v>
      </c>
    </row>
    <row r="12" spans="1:8" ht="15.75" thickBot="1" x14ac:dyDescent="0.3">
      <c r="A12" s="146"/>
      <c r="B12" s="147"/>
      <c r="C12" s="148"/>
      <c r="D12" s="148"/>
      <c r="E12" s="146"/>
      <c r="F12" s="146"/>
      <c r="G12" s="146"/>
      <c r="H12" s="146"/>
    </row>
    <row r="13" spans="1:8" ht="15.75" thickBot="1" x14ac:dyDescent="0.3">
      <c r="A13" s="149" t="s">
        <v>161</v>
      </c>
      <c r="B13" s="150" t="s">
        <v>162</v>
      </c>
      <c r="C13" s="151" t="s">
        <v>163</v>
      </c>
      <c r="E13" s="152" t="s">
        <v>164</v>
      </c>
      <c r="F13" s="153" t="s">
        <v>162</v>
      </c>
      <c r="G13" s="154" t="s">
        <v>163</v>
      </c>
      <c r="H13" s="146"/>
    </row>
    <row r="14" spans="1:8" x14ac:dyDescent="0.25">
      <c r="A14" s="155" t="s">
        <v>165</v>
      </c>
      <c r="B14" s="156">
        <f>B11</f>
        <v>40</v>
      </c>
      <c r="C14" s="306">
        <f>B14*35%</f>
        <v>14</v>
      </c>
      <c r="E14" s="157" t="s">
        <v>165</v>
      </c>
      <c r="F14" s="158">
        <v>54</v>
      </c>
      <c r="G14" s="159">
        <f>F14*65%</f>
        <v>35.1</v>
      </c>
      <c r="H14" s="146"/>
    </row>
    <row r="15" spans="1:8" x14ac:dyDescent="0.25">
      <c r="A15" s="160" t="s">
        <v>166</v>
      </c>
      <c r="B15" s="161">
        <f>C11</f>
        <v>24</v>
      </c>
      <c r="C15" s="307">
        <f>B15*46%</f>
        <v>11.040000000000001</v>
      </c>
      <c r="E15" s="162"/>
      <c r="F15" s="163"/>
      <c r="G15" s="164"/>
      <c r="H15" s="146"/>
    </row>
    <row r="16" spans="1:8" x14ac:dyDescent="0.25">
      <c r="A16" s="160" t="s">
        <v>167</v>
      </c>
      <c r="B16" s="165">
        <f>D11</f>
        <v>6.1</v>
      </c>
      <c r="C16" s="307">
        <f>B16*34%</f>
        <v>2.0739999999999998</v>
      </c>
      <c r="E16" s="160" t="s">
        <v>167</v>
      </c>
      <c r="F16" s="267">
        <f>0.15*F14</f>
        <v>8.1</v>
      </c>
      <c r="G16" s="268">
        <f>0.34*F16</f>
        <v>2.754</v>
      </c>
      <c r="H16" s="146"/>
    </row>
    <row r="17" spans="1:8" x14ac:dyDescent="0.25">
      <c r="A17" s="160" t="s">
        <v>168</v>
      </c>
      <c r="B17" s="161">
        <f>E11</f>
        <v>30</v>
      </c>
      <c r="C17" s="307">
        <f>B17*34%</f>
        <v>10.200000000000001</v>
      </c>
      <c r="E17" s="162"/>
      <c r="F17" s="163"/>
      <c r="G17" s="164"/>
      <c r="H17" s="146"/>
    </row>
    <row r="18" spans="1:8" x14ac:dyDescent="0.25">
      <c r="A18" s="160" t="s">
        <v>169</v>
      </c>
      <c r="B18" s="161">
        <f>F11</f>
        <v>15</v>
      </c>
      <c r="C18" s="307">
        <f>B18*29%</f>
        <v>4.3499999999999996</v>
      </c>
      <c r="E18" s="162"/>
      <c r="F18" s="163"/>
      <c r="G18" s="164"/>
      <c r="H18" s="146"/>
    </row>
    <row r="19" spans="1:8" x14ac:dyDescent="0.25">
      <c r="A19" s="160" t="s">
        <v>142</v>
      </c>
      <c r="B19" s="161">
        <f>G11</f>
        <v>11700</v>
      </c>
      <c r="C19" s="168">
        <f>B19</f>
        <v>11700</v>
      </c>
      <c r="E19" s="166" t="s">
        <v>142</v>
      </c>
      <c r="F19" s="167">
        <v>18500</v>
      </c>
      <c r="G19" s="168">
        <f>F19</f>
        <v>18500</v>
      </c>
      <c r="H19" s="146"/>
    </row>
    <row r="20" spans="1:8" x14ac:dyDescent="0.25">
      <c r="A20" s="160" t="s">
        <v>170</v>
      </c>
      <c r="B20" s="161">
        <f>H11</f>
        <v>585</v>
      </c>
      <c r="C20" s="168">
        <f>B20</f>
        <v>585</v>
      </c>
      <c r="E20" s="166" t="s">
        <v>171</v>
      </c>
      <c r="F20" s="167">
        <f>F19/15</f>
        <v>1233.3333333333333</v>
      </c>
      <c r="G20" s="168">
        <f>G19/15</f>
        <v>1233.3333333333333</v>
      </c>
      <c r="H20" s="146"/>
    </row>
    <row r="21" spans="1:8" ht="15.75" thickBot="1" x14ac:dyDescent="0.3">
      <c r="A21" s="169" t="s">
        <v>172</v>
      </c>
      <c r="B21" s="170">
        <f>(B19/B17)^0.5</f>
        <v>19.748417658131498</v>
      </c>
      <c r="C21" s="308">
        <f>60%*B21</f>
        <v>11.849050594878898</v>
      </c>
      <c r="E21" s="171"/>
      <c r="F21" s="172"/>
      <c r="G21" s="173"/>
      <c r="H21" s="146"/>
    </row>
    <row r="22" spans="1:8" x14ac:dyDescent="0.25">
      <c r="E22" s="118"/>
      <c r="F22" s="117"/>
      <c r="G22" s="116"/>
      <c r="H22" s="116"/>
    </row>
    <row r="23" spans="1:8" x14ac:dyDescent="0.25">
      <c r="E23" s="118"/>
      <c r="F23" s="117"/>
      <c r="G23" s="116"/>
      <c r="H23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CSV</vt:lpstr>
      <vt:lpstr>Mini-Kayak</vt:lpstr>
      <vt:lpstr>Mini-Kayak Basic Calcs</vt:lpstr>
      <vt:lpstr>Hearts Desire II</vt:lpstr>
      <vt:lpstr>Hearts Desire II Basic Calcs</vt:lpstr>
      <vt:lpstr>Plywood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AlanC</dc:creator>
  <cp:lastModifiedBy>AlanC</cp:lastModifiedBy>
  <cp:lastPrinted>2017-03-24T12:22:36Z</cp:lastPrinted>
  <dcterms:created xsi:type="dcterms:W3CDTF">2015-02-01T00:50:31Z</dcterms:created>
  <dcterms:modified xsi:type="dcterms:W3CDTF">2017-03-31T08:26:02Z</dcterms:modified>
</cp:coreProperties>
</file>