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150" windowWidth="20115" windowHeight="8010"/>
  </bookViews>
  <sheets>
    <sheet name="Basic" sheetId="1" r:id="rId1"/>
  </sheets>
  <externalReferences>
    <externalReference r:id="rId2"/>
  </externalReferences>
  <definedNames>
    <definedName name="__123Graph_A" hidden="1">'[1]NACA 0012'!$D$3:$D$13</definedName>
  </definedNames>
  <calcPr calcId="145621"/>
</workbook>
</file>

<file path=xl/calcChain.xml><?xml version="1.0" encoding="utf-8"?>
<calcChain xmlns="http://schemas.openxmlformats.org/spreadsheetml/2006/main">
  <c r="C89" i="1" l="1"/>
  <c r="C90" i="1" s="1"/>
  <c r="C92" i="1" s="1"/>
  <c r="C93" i="1" s="1"/>
  <c r="C87" i="1"/>
  <c r="C71" i="1"/>
  <c r="C17" i="1"/>
  <c r="C18" i="1" s="1"/>
  <c r="C94" i="1"/>
  <c r="C78" i="1"/>
  <c r="C76" i="1"/>
  <c r="C70" i="1"/>
  <c r="C69" i="1"/>
  <c r="C65" i="1"/>
  <c r="C63" i="1"/>
  <c r="C62" i="1"/>
  <c r="C52" i="1"/>
  <c r="C42" i="1"/>
  <c r="C40" i="1" s="1"/>
  <c r="C35" i="1"/>
  <c r="C32" i="1"/>
  <c r="C31" i="1"/>
  <c r="C27" i="1"/>
  <c r="C75" i="1" s="1"/>
  <c r="C21" i="1"/>
  <c r="C16" i="1"/>
  <c r="C15" i="1"/>
  <c r="C46" i="1" l="1"/>
  <c r="C49" i="1"/>
  <c r="C80" i="1"/>
  <c r="C81" i="1" s="1"/>
  <c r="C82" i="1" s="1"/>
  <c r="C48" i="1"/>
  <c r="C54" i="1" s="1"/>
  <c r="C79" i="1"/>
  <c r="C23" i="1"/>
  <c r="C20" i="1"/>
  <c r="C19" i="1"/>
  <c r="C45" i="1"/>
  <c r="C47" i="1"/>
  <c r="C51" i="1"/>
  <c r="C53" i="1" s="1"/>
  <c r="C55" i="1" s="1"/>
  <c r="C56" i="1" s="1"/>
  <c r="C57" i="1" s="1"/>
  <c r="C83" i="1" l="1"/>
  <c r="C68" i="1"/>
  <c r="C72" i="1" s="1"/>
  <c r="C61" i="1"/>
  <c r="C64" i="1" s="1"/>
  <c r="C26" i="1"/>
  <c r="C84" i="1" l="1"/>
  <c r="C33" i="1"/>
  <c r="C34" i="1" s="1"/>
  <c r="C29" i="1"/>
</calcChain>
</file>

<file path=xl/sharedStrings.xml><?xml version="1.0" encoding="utf-8"?>
<sst xmlns="http://schemas.openxmlformats.org/spreadsheetml/2006/main" count="184" uniqueCount="120">
  <si>
    <t>Canoe Basic Metrics</t>
  </si>
  <si>
    <t>Length Overall (LOA)</t>
  </si>
  <si>
    <t>m</t>
  </si>
  <si>
    <t>Beam Overall (BOA)</t>
  </si>
  <si>
    <t>Length Water Line (LWL)</t>
  </si>
  <si>
    <t>Beam Water Line (BWL)</t>
  </si>
  <si>
    <t>Depth Water Line (DWL)</t>
  </si>
  <si>
    <t>Amidships Deadrise</t>
  </si>
  <si>
    <t>Degrees</t>
  </si>
  <si>
    <t>Flat bottom</t>
  </si>
  <si>
    <t>Amidships Freeboard</t>
  </si>
  <si>
    <t>Forward Freeboard</t>
  </si>
  <si>
    <t>Rear Freeboard</t>
  </si>
  <si>
    <t>Basic Calculations</t>
  </si>
  <si>
    <t>m^2</t>
  </si>
  <si>
    <t>Plan Water Line Area</t>
  </si>
  <si>
    <t>Displacement Volume</t>
  </si>
  <si>
    <t>m^3</t>
  </si>
  <si>
    <t>Displacement Weight</t>
  </si>
  <si>
    <t>kg</t>
  </si>
  <si>
    <t>Prismatic Coefficient (cp)</t>
  </si>
  <si>
    <t>Displacement Length Ratio (DLR)</t>
  </si>
  <si>
    <t>Hull Speed</t>
  </si>
  <si>
    <t>kt</t>
  </si>
  <si>
    <t>Design G Force</t>
  </si>
  <si>
    <t>g</t>
  </si>
  <si>
    <t>Light duty</t>
  </si>
  <si>
    <t>KN</t>
  </si>
  <si>
    <t>Bottom Plank Design</t>
  </si>
  <si>
    <t>kPa</t>
  </si>
  <si>
    <t>Span (L)</t>
  </si>
  <si>
    <t>mm</t>
  </si>
  <si>
    <t>BWL</t>
  </si>
  <si>
    <t>Allowable Stress (S)</t>
  </si>
  <si>
    <t>F14 Plywood</t>
  </si>
  <si>
    <t>Plank Thickness (t)</t>
  </si>
  <si>
    <t>t^2=P*L^2/2/S, ~fixed sides</t>
  </si>
  <si>
    <t>Design Plank Thickness (t)</t>
  </si>
  <si>
    <t>Modulus of Elasticity (E)</t>
  </si>
  <si>
    <t>Factored 80% for wet condition</t>
  </si>
  <si>
    <t>mm^4</t>
  </si>
  <si>
    <t>d=P*L^4/384EI (2% max)</t>
  </si>
  <si>
    <t>Deflection Ratio</t>
  </si>
  <si>
    <t>Maximum Concentrated Load</t>
  </si>
  <si>
    <t>kN</t>
  </si>
  <si>
    <t>=S*t*t</t>
  </si>
  <si>
    <t>Hull Centre Reinforcement</t>
  </si>
  <si>
    <t>T-Section Modulus</t>
  </si>
  <si>
    <t>Maximum Rib Spacing (Flange Width)</t>
  </si>
  <si>
    <t>Design Rib Spacing</t>
  </si>
  <si>
    <t xml:space="preserve">Plank Thickness  (Flange Thickness) </t>
  </si>
  <si>
    <t>Rib Thickness (Web Height)</t>
  </si>
  <si>
    <t>Rib Width (Web Thickness)</t>
  </si>
  <si>
    <t>A</t>
  </si>
  <si>
    <t>mm^2</t>
  </si>
  <si>
    <t>cy</t>
  </si>
  <si>
    <t>From top of T</t>
  </si>
  <si>
    <t>cx</t>
  </si>
  <si>
    <t>From centre line of T</t>
  </si>
  <si>
    <t>Ixx</t>
  </si>
  <si>
    <t>Iyy</t>
  </si>
  <si>
    <t>Design Point Load</t>
  </si>
  <si>
    <t>~100kg</t>
  </si>
  <si>
    <t>Nm</t>
  </si>
  <si>
    <t>Section Modulus</t>
  </si>
  <si>
    <t>mm^3</t>
  </si>
  <si>
    <t>Safety Factor</t>
  </si>
  <si>
    <t>Note: May be easier to either double plank thickness or reinforce with one layers of 4 oz/sq_yd fibre-glass on both sides</t>
  </si>
  <si>
    <t>Side Plank Design</t>
  </si>
  <si>
    <t>Okay</t>
  </si>
  <si>
    <t>Hull Section Modulus</t>
  </si>
  <si>
    <t>Triangular Load &amp; Free Ends</t>
  </si>
  <si>
    <t>Design Pressure</t>
  </si>
  <si>
    <t>Width</t>
  </si>
  <si>
    <t>Length</t>
  </si>
  <si>
    <t>LWL</t>
  </si>
  <si>
    <t xml:space="preserve">Allowable Stress </t>
  </si>
  <si>
    <t>Required Section Modulus</t>
  </si>
  <si>
    <t>SM=PsL^2/12/S</t>
  </si>
  <si>
    <t>Channel Model</t>
  </si>
  <si>
    <t>Chine Width (web)</t>
  </si>
  <si>
    <t>Side Height (flange)</t>
  </si>
  <si>
    <t>Deck Width (lip)</t>
  </si>
  <si>
    <t>Thickness (t)</t>
  </si>
  <si>
    <t>cy (from bottom)</t>
  </si>
  <si>
    <t>I</t>
  </si>
  <si>
    <t>Rg</t>
  </si>
  <si>
    <t>Radius of gyration</t>
  </si>
  <si>
    <t>Slenderness Ratio</t>
  </si>
  <si>
    <t>Z</t>
  </si>
  <si>
    <t>Working Factor</t>
  </si>
  <si>
    <t>Assumes no significant keel or stringers</t>
  </si>
  <si>
    <t>Plywood Fibre Glass Joins</t>
  </si>
  <si>
    <t>Spw</t>
  </si>
  <si>
    <t>Pa</t>
  </si>
  <si>
    <t>b</t>
  </si>
  <si>
    <t>h</t>
  </si>
  <si>
    <t>M</t>
  </si>
  <si>
    <t>M=Spw*b*h^2/6</t>
  </si>
  <si>
    <t>Sfg</t>
  </si>
  <si>
    <t>t</t>
  </si>
  <si>
    <t>t~((6*M*h/Sfg/b+h^3)^(1/3)-h)/2</t>
  </si>
  <si>
    <t>F/G Weight</t>
  </si>
  <si>
    <t>oz/sq_yd</t>
  </si>
  <si>
    <t>Each side of plywood</t>
  </si>
  <si>
    <t>F/G Overlap (each side of join)</t>
  </si>
  <si>
    <t>=3*h [JS = 15%*(1+L/h)]</t>
  </si>
  <si>
    <t>Rocker</t>
  </si>
  <si>
    <t>Fw&lt;36t+w</t>
  </si>
  <si>
    <t>Note: Hull bottom centre needs reinforcement</t>
  </si>
  <si>
    <t>Mid-Section Area</t>
  </si>
  <si>
    <t>Design Pressure (P)</t>
  </si>
  <si>
    <t>Moment of Inertia (I)</t>
  </si>
  <si>
    <t>Deflection (d)</t>
  </si>
  <si>
    <t>Span</t>
  </si>
  <si>
    <t>Allowable Stress</t>
  </si>
  <si>
    <t>Bending Moment</t>
  </si>
  <si>
    <t>Working Stress (per rib)</t>
  </si>
  <si>
    <t>Distribute Load (over two ribs)</t>
  </si>
  <si>
    <t>Actually the bottom width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</si>
</sst>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00"/>
    <numFmt numFmtId="166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56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2" fontId="2" fillId="0" borderId="0" xfId="0" applyNumberFormat="1" applyFont="1"/>
    <xf numFmtId="2" fontId="2" fillId="0" borderId="0" xfId="0" applyNumberFormat="1" applyFont="1" applyBorder="1"/>
    <xf numFmtId="2" fontId="0" fillId="0" borderId="0" xfId="0" applyNumberFormat="1"/>
    <xf numFmtId="2" fontId="3" fillId="0" borderId="4" xfId="0" applyNumberFormat="1" applyFont="1" applyBorder="1"/>
    <xf numFmtId="165" fontId="2" fillId="2" borderId="5" xfId="1" applyNumberFormat="1" applyFont="1" applyFill="1" applyBorder="1"/>
    <xf numFmtId="2" fontId="2" fillId="0" borderId="6" xfId="0" applyNumberFormat="1" applyFont="1" applyBorder="1"/>
    <xf numFmtId="2" fontId="2" fillId="0" borderId="7" xfId="0" applyNumberFormat="1" applyFont="1" applyBorder="1"/>
    <xf numFmtId="2" fontId="3" fillId="0" borderId="8" xfId="0" applyNumberFormat="1" applyFont="1" applyBorder="1"/>
    <xf numFmtId="165" fontId="2" fillId="2" borderId="9" xfId="1" applyNumberFormat="1" applyFont="1" applyFill="1" applyBorder="1"/>
    <xf numFmtId="2" fontId="2" fillId="0" borderId="10" xfId="0" applyNumberFormat="1" applyFont="1" applyBorder="1"/>
    <xf numFmtId="2" fontId="2" fillId="0" borderId="11" xfId="0" applyNumberFormat="1" applyFont="1" applyBorder="1"/>
    <xf numFmtId="2" fontId="3" fillId="0" borderId="12" xfId="0" applyNumberFormat="1" applyFont="1" applyBorder="1"/>
    <xf numFmtId="165" fontId="2" fillId="2" borderId="13" xfId="1" applyNumberFormat="1" applyFont="1" applyFill="1" applyBorder="1"/>
    <xf numFmtId="2" fontId="2" fillId="0" borderId="14" xfId="0" applyNumberFormat="1" applyFont="1" applyBorder="1"/>
    <xf numFmtId="2" fontId="2" fillId="0" borderId="15" xfId="0" applyNumberFormat="1" applyFont="1" applyBorder="1"/>
    <xf numFmtId="2" fontId="3" fillId="0" borderId="2" xfId="0" applyNumberFormat="1" applyFont="1" applyFill="1" applyBorder="1"/>
    <xf numFmtId="165" fontId="2" fillId="0" borderId="2" xfId="1" applyNumberFormat="1" applyFont="1" applyFill="1" applyBorder="1"/>
    <xf numFmtId="2" fontId="2" fillId="0" borderId="2" xfId="0" applyNumberFormat="1" applyFont="1" applyFill="1" applyBorder="1"/>
    <xf numFmtId="165" fontId="2" fillId="0" borderId="5" xfId="1" applyNumberFormat="1" applyFont="1" applyBorder="1"/>
    <xf numFmtId="165" fontId="2" fillId="0" borderId="13" xfId="1" applyNumberFormat="1" applyFont="1" applyBorder="1"/>
    <xf numFmtId="2" fontId="4" fillId="0" borderId="15" xfId="0" applyNumberFormat="1" applyFont="1" applyBorder="1"/>
    <xf numFmtId="2" fontId="2" fillId="0" borderId="4" xfId="0" applyNumberFormat="1" applyFont="1" applyBorder="1" applyAlignment="1"/>
    <xf numFmtId="2" fontId="2" fillId="0" borderId="5" xfId="1" applyNumberFormat="1" applyFont="1" applyBorder="1"/>
    <xf numFmtId="2" fontId="2" fillId="0" borderId="16" xfId="0" applyNumberFormat="1" applyFont="1" applyBorder="1" applyAlignment="1"/>
    <xf numFmtId="1" fontId="2" fillId="2" borderId="5" xfId="1" applyNumberFormat="1" applyFont="1" applyFill="1" applyBorder="1"/>
    <xf numFmtId="2" fontId="5" fillId="0" borderId="4" xfId="0" applyNumberFormat="1" applyFont="1" applyBorder="1" applyAlignment="1"/>
    <xf numFmtId="2" fontId="2" fillId="2" borderId="5" xfId="1" applyNumberFormat="1" applyFont="1" applyFill="1" applyBorder="1"/>
    <xf numFmtId="1" fontId="2" fillId="0" borderId="5" xfId="1" applyNumberFormat="1" applyFont="1" applyBorder="1"/>
    <xf numFmtId="2" fontId="2" fillId="0" borderId="12" xfId="0" applyNumberFormat="1" applyFont="1" applyFill="1" applyBorder="1" applyAlignment="1"/>
    <xf numFmtId="2" fontId="6" fillId="0" borderId="14" xfId="1" applyNumberFormat="1" applyFont="1" applyBorder="1"/>
    <xf numFmtId="2" fontId="2" fillId="0" borderId="14" xfId="0" applyNumberFormat="1" applyFont="1" applyFill="1" applyBorder="1"/>
    <xf numFmtId="2" fontId="2" fillId="0" borderId="15" xfId="0" quotePrefix="1" applyNumberFormat="1" applyFont="1" applyBorder="1"/>
    <xf numFmtId="2" fontId="6" fillId="0" borderId="0" xfId="0" applyNumberFormat="1" applyFont="1" applyFill="1" applyBorder="1" applyAlignment="1"/>
    <xf numFmtId="2" fontId="2" fillId="0" borderId="0" xfId="1" applyNumberFormat="1" applyFont="1" applyBorder="1"/>
    <xf numFmtId="2" fontId="2" fillId="0" borderId="0" xfId="0" applyNumberFormat="1" applyFont="1" applyFill="1" applyBorder="1"/>
    <xf numFmtId="2" fontId="7" fillId="0" borderId="8" xfId="0" applyNumberFormat="1" applyFont="1" applyBorder="1"/>
    <xf numFmtId="2" fontId="8" fillId="0" borderId="10" xfId="2" applyNumberFormat="1" applyFont="1" applyBorder="1"/>
    <xf numFmtId="2" fontId="8" fillId="0" borderId="10" xfId="0" applyNumberFormat="1" applyFont="1" applyBorder="1"/>
    <xf numFmtId="2" fontId="8" fillId="0" borderId="11" xfId="2" applyNumberFormat="1" applyFont="1" applyBorder="1" applyAlignment="1">
      <alignment horizontal="left"/>
    </xf>
    <xf numFmtId="2" fontId="8" fillId="0" borderId="4" xfId="0" applyNumberFormat="1" applyFont="1" applyBorder="1"/>
    <xf numFmtId="1" fontId="8" fillId="0" borderId="6" xfId="0" applyNumberFormat="1" applyFont="1" applyBorder="1"/>
    <xf numFmtId="2" fontId="8" fillId="0" borderId="6" xfId="0" applyNumberFormat="1" applyFont="1" applyBorder="1"/>
    <xf numFmtId="2" fontId="8" fillId="0" borderId="7" xfId="2" applyNumberFormat="1" applyFont="1" applyBorder="1" applyAlignment="1">
      <alignment horizontal="left"/>
    </xf>
    <xf numFmtId="1" fontId="8" fillId="2" borderId="6" xfId="0" applyNumberFormat="1" applyFont="1" applyFill="1" applyBorder="1"/>
    <xf numFmtId="2" fontId="8" fillId="0" borderId="7" xfId="0" applyNumberFormat="1" applyFont="1" applyBorder="1"/>
    <xf numFmtId="166" fontId="8" fillId="0" borderId="6" xfId="0" applyNumberFormat="1" applyFont="1" applyBorder="1"/>
    <xf numFmtId="1" fontId="8" fillId="0" borderId="6" xfId="1" applyNumberFormat="1" applyFont="1" applyBorder="1"/>
    <xf numFmtId="2" fontId="8" fillId="0" borderId="12" xfId="0" applyNumberFormat="1" applyFont="1" applyBorder="1"/>
    <xf numFmtId="1" fontId="8" fillId="0" borderId="14" xfId="1" applyNumberFormat="1" applyFont="1" applyBorder="1"/>
    <xf numFmtId="2" fontId="8" fillId="0" borderId="14" xfId="0" applyNumberFormat="1" applyFont="1" applyBorder="1"/>
    <xf numFmtId="2" fontId="8" fillId="0" borderId="15" xfId="0" applyNumberFormat="1" applyFont="1" applyBorder="1" applyAlignment="1">
      <alignment horizontal="left"/>
    </xf>
    <xf numFmtId="2" fontId="8" fillId="2" borderId="6" xfId="0" applyNumberFormat="1" applyFont="1" applyFill="1" applyBorder="1"/>
    <xf numFmtId="9" fontId="8" fillId="0" borderId="14" xfId="2" applyFont="1" applyBorder="1"/>
    <xf numFmtId="166" fontId="2" fillId="0" borderId="5" xfId="1" applyNumberFormat="1" applyFont="1" applyBorder="1"/>
    <xf numFmtId="2" fontId="2" fillId="0" borderId="12" xfId="0" applyNumberFormat="1" applyFont="1" applyBorder="1" applyAlignment="1"/>
    <xf numFmtId="166" fontId="2" fillId="0" borderId="13" xfId="1" applyNumberFormat="1" applyFont="1" applyBorder="1"/>
    <xf numFmtId="2" fontId="2" fillId="0" borderId="18" xfId="0" applyNumberFormat="1" applyFont="1" applyBorder="1" applyAlignment="1"/>
    <xf numFmtId="2" fontId="9" fillId="0" borderId="1" xfId="0" applyNumberFormat="1" applyFont="1" applyBorder="1"/>
    <xf numFmtId="2" fontId="5" fillId="0" borderId="3" xfId="0" applyNumberFormat="1" applyFont="1" applyBorder="1" applyAlignment="1"/>
    <xf numFmtId="2" fontId="5" fillId="0" borderId="10" xfId="0" applyNumberFormat="1" applyFont="1" applyBorder="1"/>
    <xf numFmtId="2" fontId="5" fillId="0" borderId="7" xfId="0" applyNumberFormat="1" applyFont="1" applyBorder="1"/>
    <xf numFmtId="2" fontId="5" fillId="0" borderId="6" xfId="0" applyNumberFormat="1" applyFont="1" applyBorder="1"/>
    <xf numFmtId="2" fontId="5" fillId="0" borderId="4" xfId="0" applyNumberFormat="1" applyFont="1" applyBorder="1"/>
    <xf numFmtId="2" fontId="5" fillId="0" borderId="12" xfId="0" applyNumberFormat="1" applyFont="1" applyBorder="1"/>
    <xf numFmtId="1" fontId="5" fillId="0" borderId="14" xfId="1" applyNumberFormat="1" applyFont="1" applyBorder="1"/>
    <xf numFmtId="2" fontId="5" fillId="0" borderId="14" xfId="0" applyNumberFormat="1" applyFont="1" applyBorder="1"/>
    <xf numFmtId="2" fontId="5" fillId="0" borderId="15" xfId="0" applyNumberFormat="1" applyFont="1" applyBorder="1"/>
    <xf numFmtId="2" fontId="2" fillId="0" borderId="4" xfId="0" applyNumberFormat="1" applyFont="1" applyBorder="1"/>
    <xf numFmtId="2" fontId="4" fillId="0" borderId="7" xfId="2" applyNumberFormat="1" applyFont="1" applyBorder="1" applyAlignment="1">
      <alignment horizontal="left"/>
    </xf>
    <xf numFmtId="9" fontId="2" fillId="0" borderId="14" xfId="2" applyFont="1" applyBorder="1"/>
    <xf numFmtId="2" fontId="8" fillId="0" borderId="15" xfId="2" applyNumberFormat="1" applyFont="1" applyBorder="1" applyAlignment="1">
      <alignment horizontal="left"/>
    </xf>
    <xf numFmtId="0" fontId="2" fillId="0" borderId="21" xfId="0" applyFont="1" applyFill="1" applyBorder="1"/>
    <xf numFmtId="0" fontId="2" fillId="0" borderId="10" xfId="0" applyFont="1" applyBorder="1"/>
    <xf numFmtId="2" fontId="2" fillId="0" borderId="22" xfId="0" applyNumberFormat="1" applyFont="1" applyBorder="1"/>
    <xf numFmtId="0" fontId="2" fillId="0" borderId="23" xfId="0" applyFont="1" applyFill="1" applyBorder="1"/>
    <xf numFmtId="0" fontId="2" fillId="2" borderId="6" xfId="0" applyFont="1" applyFill="1" applyBorder="1"/>
    <xf numFmtId="0" fontId="2" fillId="0" borderId="6" xfId="0" applyFont="1" applyBorder="1"/>
    <xf numFmtId="2" fontId="2" fillId="0" borderId="16" xfId="0" applyNumberFormat="1" applyFont="1" applyBorder="1"/>
    <xf numFmtId="1" fontId="2" fillId="0" borderId="6" xfId="0" applyNumberFormat="1" applyFont="1" applyBorder="1"/>
    <xf numFmtId="0" fontId="2" fillId="0" borderId="16" xfId="0" applyFont="1" applyFill="1" applyBorder="1"/>
    <xf numFmtId="0" fontId="2" fillId="0" borderId="16" xfId="0" quotePrefix="1" applyFont="1" applyFill="1" applyBorder="1"/>
    <xf numFmtId="2" fontId="8" fillId="0" borderId="15" xfId="2" quotePrefix="1" applyNumberFormat="1" applyFont="1" applyBorder="1" applyAlignment="1">
      <alignment horizontal="left"/>
    </xf>
    <xf numFmtId="1" fontId="2" fillId="0" borderId="5" xfId="1" applyNumberFormat="1" applyFont="1" applyFill="1" applyBorder="1"/>
    <xf numFmtId="1" fontId="2" fillId="0" borderId="10" xfId="0" applyNumberFormat="1" applyFont="1" applyBorder="1"/>
    <xf numFmtId="2" fontId="2" fillId="0" borderId="6" xfId="0" applyNumberFormat="1" applyFont="1" applyFill="1" applyBorder="1"/>
    <xf numFmtId="1" fontId="2" fillId="0" borderId="13" xfId="1" applyNumberFormat="1" applyFont="1" applyBorder="1"/>
    <xf numFmtId="2" fontId="5" fillId="0" borderId="19" xfId="0" applyNumberFormat="1" applyFont="1" applyBorder="1" applyAlignment="1">
      <alignment horizontal="left"/>
    </xf>
    <xf numFmtId="2" fontId="5" fillId="0" borderId="20" xfId="0" applyNumberFormat="1" applyFont="1" applyBorder="1" applyAlignment="1">
      <alignment horizontal="left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anX/Canoe/Documents%20and%20Settings/cooperag/My%20Documents/F/boat/new/junk/c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c9"/>
      <sheetName val="drawing"/>
      <sheetName val="Long"/>
      <sheetName val="Plan"/>
      <sheetName val="Section"/>
      <sheetName val="Basic"/>
      <sheetName val="Keel Bolts"/>
      <sheetName val="Keel Fin"/>
      <sheetName val="Box Cradle"/>
      <sheetName val="Hull"/>
      <sheetName val="Costs"/>
      <sheetName val="Catalog"/>
      <sheetName val="Hagar"/>
      <sheetName val="Pelican"/>
      <sheetName val="Calculations"/>
      <sheetName val="NACA 0012"/>
      <sheetName val="AS4132"/>
      <sheetName val="Keel Design"/>
      <sheetName val="S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3">
          <cell r="D3">
            <v>4.200000000000001E-2</v>
          </cell>
        </row>
        <row r="4">
          <cell r="D4">
            <v>3.84776611328125E-2</v>
          </cell>
        </row>
        <row r="5">
          <cell r="D5">
            <v>3.5116328124999999E-2</v>
          </cell>
        </row>
        <row r="6">
          <cell r="D6">
            <v>3.1924614257812498E-2</v>
          </cell>
        </row>
        <row r="7">
          <cell r="D7">
            <v>2.8911249999999999E-2</v>
          </cell>
        </row>
        <row r="8">
          <cell r="D8">
            <v>2.6085083007812496E-2</v>
          </cell>
        </row>
        <row r="9">
          <cell r="D9">
            <v>2.3455078125000001E-2</v>
          </cell>
        </row>
        <row r="10">
          <cell r="D10">
            <v>2.1030317382812497E-2</v>
          </cell>
        </row>
        <row r="11">
          <cell r="D11">
            <v>1.8819999999999996E-2</v>
          </cell>
        </row>
        <row r="12">
          <cell r="D12">
            <v>1.6833442382812501E-2</v>
          </cell>
        </row>
        <row r="13">
          <cell r="D13">
            <v>1.5080078125E-2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O95"/>
  <sheetViews>
    <sheetView tabSelected="1" zoomScale="80" zoomScaleNormal="80" workbookViewId="0">
      <selection activeCell="G22" sqref="G1:P22"/>
    </sheetView>
  </sheetViews>
  <sheetFormatPr defaultColWidth="6.7109375" defaultRowHeight="14.25" x14ac:dyDescent="0.2"/>
  <cols>
    <col min="1" max="1" width="2.140625" style="1" customWidth="1"/>
    <col min="2" max="2" width="39.140625" style="1" bestFit="1" customWidth="1"/>
    <col min="3" max="3" width="16.7109375" style="1" bestFit="1" customWidth="1"/>
    <col min="4" max="4" width="9.85546875" style="1" bestFit="1" customWidth="1"/>
    <col min="5" max="5" width="42" style="1" bestFit="1" customWidth="1"/>
    <col min="6" max="6" width="8.5703125" style="3" customWidth="1"/>
    <col min="7" max="7" width="6.7109375" style="3" customWidth="1"/>
    <col min="8" max="8" width="12" style="3" bestFit="1" customWidth="1"/>
    <col min="9" max="11" width="12" style="3" customWidth="1"/>
    <col min="12" max="15" width="6.7109375" style="3" customWidth="1"/>
    <col min="16" max="16384" width="6.7109375" style="1"/>
  </cols>
  <sheetData>
    <row r="1" spans="2:15" ht="15" thickBot="1" x14ac:dyDescent="0.25">
      <c r="D1" s="2"/>
      <c r="E1" s="2"/>
      <c r="G1" s="1"/>
      <c r="H1" s="1"/>
      <c r="I1" s="1"/>
      <c r="J1" s="1"/>
      <c r="K1" s="1"/>
      <c r="L1" s="1"/>
      <c r="M1" s="1"/>
      <c r="N1" s="1"/>
      <c r="O1" s="1"/>
    </row>
    <row r="2" spans="2:15" ht="15.75" thickBot="1" x14ac:dyDescent="0.3">
      <c r="B2" s="95" t="s">
        <v>0</v>
      </c>
      <c r="C2" s="96"/>
      <c r="D2" s="96"/>
      <c r="E2" s="97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5" x14ac:dyDescent="0.25">
      <c r="B3" s="4" t="s">
        <v>1</v>
      </c>
      <c r="C3" s="5">
        <v>3.93</v>
      </c>
      <c r="D3" s="6" t="s">
        <v>2</v>
      </c>
      <c r="E3" s="7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5.75" thickBot="1" x14ac:dyDescent="0.3">
      <c r="B4" s="4" t="s">
        <v>3</v>
      </c>
      <c r="C4" s="5">
        <v>0.65</v>
      </c>
      <c r="D4" s="6" t="s">
        <v>2</v>
      </c>
      <c r="E4" s="7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5" x14ac:dyDescent="0.25">
      <c r="B5" s="8" t="s">
        <v>4</v>
      </c>
      <c r="C5" s="9">
        <v>3.6</v>
      </c>
      <c r="D5" s="10" t="s">
        <v>2</v>
      </c>
      <c r="E5" s="1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5" x14ac:dyDescent="0.25">
      <c r="B6" s="4" t="s">
        <v>5</v>
      </c>
      <c r="C6" s="5">
        <v>0.55000000000000004</v>
      </c>
      <c r="D6" s="6" t="s">
        <v>2</v>
      </c>
      <c r="E6" s="7" t="s">
        <v>119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3" customFormat="1" ht="15" x14ac:dyDescent="0.25">
      <c r="B7" s="4" t="s">
        <v>6</v>
      </c>
      <c r="C7" s="5">
        <v>7.4999999999999997E-2</v>
      </c>
      <c r="D7" s="6" t="s">
        <v>2</v>
      </c>
      <c r="E7" s="7"/>
      <c r="F7" s="1"/>
    </row>
    <row r="8" spans="2:15" s="3" customFormat="1" ht="15" x14ac:dyDescent="0.25">
      <c r="B8" s="4" t="s">
        <v>107</v>
      </c>
      <c r="C8" s="5">
        <v>2.5000000000000001E-2</v>
      </c>
      <c r="D8" s="6" t="s">
        <v>2</v>
      </c>
      <c r="E8" s="7"/>
      <c r="F8" s="1"/>
    </row>
    <row r="9" spans="2:15" s="3" customFormat="1" ht="15" x14ac:dyDescent="0.25">
      <c r="B9" s="4" t="s">
        <v>7</v>
      </c>
      <c r="C9" s="5">
        <v>0</v>
      </c>
      <c r="D9" s="6" t="s">
        <v>8</v>
      </c>
      <c r="E9" s="7" t="s">
        <v>9</v>
      </c>
      <c r="F9" s="1"/>
    </row>
    <row r="10" spans="2:15" s="3" customFormat="1" ht="15" x14ac:dyDescent="0.25">
      <c r="B10" s="4" t="s">
        <v>10</v>
      </c>
      <c r="C10" s="5">
        <v>0.2</v>
      </c>
      <c r="D10" s="6" t="s">
        <v>2</v>
      </c>
      <c r="E10" s="7"/>
      <c r="F10" s="1"/>
    </row>
    <row r="11" spans="2:15" s="3" customFormat="1" ht="15" x14ac:dyDescent="0.25">
      <c r="B11" s="4" t="s">
        <v>11</v>
      </c>
      <c r="C11" s="5">
        <v>0.32500000000000001</v>
      </c>
      <c r="D11" s="6" t="s">
        <v>2</v>
      </c>
      <c r="E11" s="7"/>
      <c r="F11" s="1"/>
    </row>
    <row r="12" spans="2:15" s="3" customFormat="1" ht="15.75" thickBot="1" x14ac:dyDescent="0.3">
      <c r="B12" s="12" t="s">
        <v>12</v>
      </c>
      <c r="C12" s="13">
        <v>0.32500000000000001</v>
      </c>
      <c r="D12" s="14" t="s">
        <v>2</v>
      </c>
      <c r="E12" s="15"/>
      <c r="F12" s="1"/>
    </row>
    <row r="13" spans="2:15" s="3" customFormat="1" ht="15.75" thickBot="1" x14ac:dyDescent="0.3">
      <c r="B13" s="16"/>
      <c r="C13" s="17"/>
      <c r="D13" s="18"/>
      <c r="E13" s="18"/>
      <c r="F13" s="1"/>
    </row>
    <row r="14" spans="2:15" s="3" customFormat="1" ht="15.75" thickBot="1" x14ac:dyDescent="0.3">
      <c r="B14" s="95" t="s">
        <v>13</v>
      </c>
      <c r="C14" s="96"/>
      <c r="D14" s="96"/>
      <c r="E14" s="97"/>
      <c r="F14" s="1"/>
    </row>
    <row r="15" spans="2:15" s="3" customFormat="1" ht="15" x14ac:dyDescent="0.25">
      <c r="B15" s="4" t="s">
        <v>110</v>
      </c>
      <c r="C15" s="19">
        <f>C6*C7</f>
        <v>4.1250000000000002E-2</v>
      </c>
      <c r="D15" s="6" t="s">
        <v>14</v>
      </c>
      <c r="E15" s="7"/>
      <c r="F15" s="1"/>
    </row>
    <row r="16" spans="2:15" s="3" customFormat="1" ht="15" x14ac:dyDescent="0.25">
      <c r="B16" s="4" t="s">
        <v>15</v>
      </c>
      <c r="C16" s="19">
        <f>C6*C5*2/3</f>
        <v>1.32</v>
      </c>
      <c r="D16" s="6" t="s">
        <v>14</v>
      </c>
      <c r="E16" s="7"/>
      <c r="F16" s="1"/>
    </row>
    <row r="17" spans="2:6" s="3" customFormat="1" ht="15" x14ac:dyDescent="0.25">
      <c r="B17" s="4" t="s">
        <v>16</v>
      </c>
      <c r="C17" s="19">
        <f>C5*C6*(C7-C8/3)*2/3</f>
        <v>8.8000000000000009E-2</v>
      </c>
      <c r="D17" s="6" t="s">
        <v>17</v>
      </c>
      <c r="E17" s="7"/>
      <c r="F17" s="1"/>
    </row>
    <row r="18" spans="2:6" s="3" customFormat="1" ht="15" x14ac:dyDescent="0.25">
      <c r="B18" s="4" t="s">
        <v>18</v>
      </c>
      <c r="C18" s="19">
        <f>C17*1025</f>
        <v>90.2</v>
      </c>
      <c r="D18" s="6" t="s">
        <v>19</v>
      </c>
      <c r="E18" s="7"/>
      <c r="F18" s="1"/>
    </row>
    <row r="19" spans="2:6" s="3" customFormat="1" ht="15" x14ac:dyDescent="0.25">
      <c r="B19" s="4" t="s">
        <v>20</v>
      </c>
      <c r="C19" s="19">
        <f>C17/(C5*C6*C7)</f>
        <v>0.59259259259259256</v>
      </c>
      <c r="D19" s="6"/>
      <c r="E19" s="7"/>
      <c r="F19" s="1"/>
    </row>
    <row r="20" spans="2:6" s="3" customFormat="1" ht="15" x14ac:dyDescent="0.25">
      <c r="B20" s="4" t="s">
        <v>21</v>
      </c>
      <c r="C20" s="19">
        <f>C18/(C3/3.048)^3</f>
        <v>42.079810407674792</v>
      </c>
      <c r="D20" s="6"/>
      <c r="E20" s="7"/>
      <c r="F20" s="1"/>
    </row>
    <row r="21" spans="2:6" s="3" customFormat="1" ht="15" x14ac:dyDescent="0.25">
      <c r="B21" s="4" t="s">
        <v>22</v>
      </c>
      <c r="C21" s="19">
        <f>1.34*(C5*3.28)^0.5</f>
        <v>4.6046112539496757</v>
      </c>
      <c r="D21" s="6" t="s">
        <v>23</v>
      </c>
      <c r="E21" s="7"/>
      <c r="F21" s="1"/>
    </row>
    <row r="22" spans="2:6" s="3" customFormat="1" ht="15" x14ac:dyDescent="0.25">
      <c r="B22" s="4" t="s">
        <v>24</v>
      </c>
      <c r="C22" s="5">
        <v>3.5</v>
      </c>
      <c r="D22" s="6" t="s">
        <v>25</v>
      </c>
      <c r="E22" s="7" t="s">
        <v>26</v>
      </c>
      <c r="F22" s="1"/>
    </row>
    <row r="23" spans="2:6" s="3" customFormat="1" ht="15.75" thickBot="1" x14ac:dyDescent="0.3">
      <c r="B23" s="12" t="s">
        <v>72</v>
      </c>
      <c r="C23" s="20">
        <f>C22*C18*9.81/1000/C16</f>
        <v>2.3462249999999996</v>
      </c>
      <c r="D23" s="14" t="s">
        <v>27</v>
      </c>
      <c r="E23" s="21"/>
      <c r="F23" s="1"/>
    </row>
    <row r="24" spans="2:6" s="3" customFormat="1" ht="15" thickBot="1" x14ac:dyDescent="0.25">
      <c r="B24" s="1"/>
      <c r="C24" s="1"/>
      <c r="D24" s="1"/>
      <c r="E24" s="1"/>
      <c r="F24" s="1"/>
    </row>
    <row r="25" spans="2:6" s="3" customFormat="1" ht="15.75" thickBot="1" x14ac:dyDescent="0.3">
      <c r="B25" s="95" t="s">
        <v>28</v>
      </c>
      <c r="C25" s="96"/>
      <c r="D25" s="96"/>
      <c r="E25" s="97"/>
    </row>
    <row r="26" spans="2:6" s="3" customFormat="1" x14ac:dyDescent="0.2">
      <c r="B26" s="22" t="s">
        <v>111</v>
      </c>
      <c r="C26" s="23">
        <f>C23</f>
        <v>2.3462249999999996</v>
      </c>
      <c r="D26" s="6" t="s">
        <v>29</v>
      </c>
      <c r="E26" s="24"/>
    </row>
    <row r="27" spans="2:6" s="3" customFormat="1" x14ac:dyDescent="0.2">
      <c r="B27" s="22" t="s">
        <v>30</v>
      </c>
      <c r="C27" s="83">
        <f>C6*1000</f>
        <v>550</v>
      </c>
      <c r="D27" s="6" t="s">
        <v>31</v>
      </c>
      <c r="E27" s="24" t="s">
        <v>32</v>
      </c>
    </row>
    <row r="28" spans="2:6" s="3" customFormat="1" x14ac:dyDescent="0.2">
      <c r="B28" s="26" t="s">
        <v>33</v>
      </c>
      <c r="C28" s="25">
        <v>14000</v>
      </c>
      <c r="D28" s="6" t="s">
        <v>29</v>
      </c>
      <c r="E28" s="7" t="s">
        <v>34</v>
      </c>
    </row>
    <row r="29" spans="2:6" s="3" customFormat="1" x14ac:dyDescent="0.2">
      <c r="B29" s="22" t="s">
        <v>35</v>
      </c>
      <c r="C29" s="23">
        <f>(C26*C27*C27/C28/2)^0.5</f>
        <v>5.0346409380411625</v>
      </c>
      <c r="D29" s="6" t="s">
        <v>31</v>
      </c>
      <c r="E29" s="24" t="s">
        <v>36</v>
      </c>
    </row>
    <row r="30" spans="2:6" s="3" customFormat="1" x14ac:dyDescent="0.2">
      <c r="B30" s="22" t="s">
        <v>37</v>
      </c>
      <c r="C30" s="27">
        <v>6</v>
      </c>
      <c r="D30" s="6" t="s">
        <v>31</v>
      </c>
      <c r="E30" s="24"/>
    </row>
    <row r="31" spans="2:6" s="3" customFormat="1" x14ac:dyDescent="0.2">
      <c r="B31" s="22" t="s">
        <v>38</v>
      </c>
      <c r="C31" s="25">
        <f>10500000*80%</f>
        <v>8400000</v>
      </c>
      <c r="D31" s="6" t="s">
        <v>29</v>
      </c>
      <c r="E31" s="24" t="s">
        <v>39</v>
      </c>
    </row>
    <row r="32" spans="2:6" s="3" customFormat="1" x14ac:dyDescent="0.2">
      <c r="B32" s="22" t="s">
        <v>112</v>
      </c>
      <c r="C32" s="28">
        <f>1000*C30^3/12</f>
        <v>18000</v>
      </c>
      <c r="D32" s="6" t="s">
        <v>40</v>
      </c>
      <c r="E32" s="24"/>
    </row>
    <row r="33" spans="2:5" s="3" customFormat="1" x14ac:dyDescent="0.2">
      <c r="B33" s="22" t="s">
        <v>113</v>
      </c>
      <c r="C33" s="23">
        <f>C26*C27^4/384/C31/C32*1000</f>
        <v>3.6977487634729447</v>
      </c>
      <c r="D33" s="6" t="s">
        <v>31</v>
      </c>
      <c r="E33" s="24" t="s">
        <v>41</v>
      </c>
    </row>
    <row r="34" spans="2:5" s="3" customFormat="1" x14ac:dyDescent="0.2">
      <c r="B34" s="22" t="s">
        <v>42</v>
      </c>
      <c r="C34" s="23">
        <f>C27/C33</f>
        <v>148.73914783854519</v>
      </c>
      <c r="D34" s="6"/>
      <c r="E34" s="24"/>
    </row>
    <row r="35" spans="2:5" s="3" customFormat="1" ht="15" thickBot="1" x14ac:dyDescent="0.25">
      <c r="B35" s="29" t="s">
        <v>43</v>
      </c>
      <c r="C35" s="30">
        <f>C28*C30*C30/1000000</f>
        <v>0.504</v>
      </c>
      <c r="D35" s="31" t="s">
        <v>44</v>
      </c>
      <c r="E35" s="32" t="s">
        <v>45</v>
      </c>
    </row>
    <row r="36" spans="2:5" s="3" customFormat="1" x14ac:dyDescent="0.2">
      <c r="B36" s="33" t="s">
        <v>109</v>
      </c>
      <c r="C36" s="34"/>
      <c r="D36" s="35"/>
      <c r="E36" s="2"/>
    </row>
    <row r="37" spans="2:5" s="3" customFormat="1" ht="15" thickBot="1" x14ac:dyDescent="0.25">
      <c r="B37" s="1"/>
      <c r="C37" s="1"/>
      <c r="D37" s="1"/>
      <c r="E37" s="1"/>
    </row>
    <row r="38" spans="2:5" s="3" customFormat="1" ht="15.75" thickBot="1" x14ac:dyDescent="0.3">
      <c r="B38" s="95" t="s">
        <v>46</v>
      </c>
      <c r="C38" s="96"/>
      <c r="D38" s="96"/>
      <c r="E38" s="97"/>
    </row>
    <row r="39" spans="2:5" s="3" customFormat="1" ht="15" x14ac:dyDescent="0.25">
      <c r="B39" s="36" t="s">
        <v>47</v>
      </c>
      <c r="C39" s="37"/>
      <c r="D39" s="38"/>
      <c r="E39" s="39"/>
    </row>
    <row r="40" spans="2:5" s="3" customFormat="1" x14ac:dyDescent="0.2">
      <c r="B40" s="40" t="s">
        <v>48</v>
      </c>
      <c r="C40" s="41">
        <f>36*C42+C44</f>
        <v>256</v>
      </c>
      <c r="D40" s="42" t="s">
        <v>31</v>
      </c>
      <c r="E40" s="43" t="s">
        <v>108</v>
      </c>
    </row>
    <row r="41" spans="2:5" s="3" customFormat="1" x14ac:dyDescent="0.2">
      <c r="B41" s="40" t="s">
        <v>49</v>
      </c>
      <c r="C41" s="44">
        <v>150</v>
      </c>
      <c r="D41" s="42" t="s">
        <v>31</v>
      </c>
      <c r="E41" s="45"/>
    </row>
    <row r="42" spans="2:5" s="3" customFormat="1" x14ac:dyDescent="0.2">
      <c r="B42" s="40" t="s">
        <v>50</v>
      </c>
      <c r="C42" s="41">
        <f>C30</f>
        <v>6</v>
      </c>
      <c r="D42" s="42" t="s">
        <v>31</v>
      </c>
      <c r="E42" s="43"/>
    </row>
    <row r="43" spans="2:5" s="3" customFormat="1" x14ac:dyDescent="0.2">
      <c r="B43" s="40" t="s">
        <v>51</v>
      </c>
      <c r="C43" s="44">
        <v>6</v>
      </c>
      <c r="D43" s="42" t="s">
        <v>31</v>
      </c>
      <c r="E43" s="43"/>
    </row>
    <row r="44" spans="2:5" s="3" customFormat="1" x14ac:dyDescent="0.2">
      <c r="B44" s="40" t="s">
        <v>52</v>
      </c>
      <c r="C44" s="44">
        <v>40</v>
      </c>
      <c r="D44" s="42" t="s">
        <v>31</v>
      </c>
      <c r="E44" s="43"/>
    </row>
    <row r="45" spans="2:5" s="3" customFormat="1" x14ac:dyDescent="0.2">
      <c r="B45" s="40" t="s">
        <v>53</v>
      </c>
      <c r="C45" s="41">
        <f>C40*C42+C43*C44</f>
        <v>1776</v>
      </c>
      <c r="D45" s="42" t="s">
        <v>54</v>
      </c>
      <c r="E45" s="43"/>
    </row>
    <row r="46" spans="2:5" s="3" customFormat="1" x14ac:dyDescent="0.2">
      <c r="B46" s="40" t="s">
        <v>55</v>
      </c>
      <c r="C46" s="46">
        <f>(C40*C42*C42/2+C43*C44*(C42+C43/2))/(C40*C42+C43*C44)</f>
        <v>3.810810810810811</v>
      </c>
      <c r="D46" s="42" t="s">
        <v>31</v>
      </c>
      <c r="E46" s="43" t="s">
        <v>56</v>
      </c>
    </row>
    <row r="47" spans="2:5" s="3" customFormat="1" x14ac:dyDescent="0.2">
      <c r="B47" s="40" t="s">
        <v>57</v>
      </c>
      <c r="C47" s="46">
        <f>(C40*C42*0/2+C43*C44*0/2)/(C40*C42+C43*C44)</f>
        <v>0</v>
      </c>
      <c r="D47" s="42" t="s">
        <v>31</v>
      </c>
      <c r="E47" s="43" t="s">
        <v>58</v>
      </c>
    </row>
    <row r="48" spans="2:5" s="3" customFormat="1" x14ac:dyDescent="0.2">
      <c r="B48" s="40" t="s">
        <v>59</v>
      </c>
      <c r="C48" s="47">
        <f>C41*C42^3/12+C41*C42*(C46-C42/2)^2+C44*C43^3/12+C44*C43*(C46-C42-C43/2)^2</f>
        <v>10474.317019722426</v>
      </c>
      <c r="D48" s="42" t="s">
        <v>40</v>
      </c>
      <c r="E48" s="43"/>
    </row>
    <row r="49" spans="2:15" s="3" customFormat="1" ht="15" thickBot="1" x14ac:dyDescent="0.25">
      <c r="B49" s="48" t="s">
        <v>60</v>
      </c>
      <c r="C49" s="49">
        <f>C40*C40*C40*C42/12+C44*C44*C44*C43/12</f>
        <v>8420608</v>
      </c>
      <c r="D49" s="50" t="s">
        <v>40</v>
      </c>
      <c r="E49" s="51"/>
    </row>
    <row r="50" spans="2:15" x14ac:dyDescent="0.2">
      <c r="B50" s="40" t="s">
        <v>61</v>
      </c>
      <c r="C50" s="52">
        <v>1</v>
      </c>
      <c r="D50" s="42" t="s">
        <v>44</v>
      </c>
      <c r="E50" s="43" t="s">
        <v>62</v>
      </c>
    </row>
    <row r="51" spans="2:15" x14ac:dyDescent="0.2">
      <c r="B51" s="40" t="s">
        <v>114</v>
      </c>
      <c r="C51" s="41">
        <f>C27</f>
        <v>550</v>
      </c>
      <c r="D51" s="42" t="s">
        <v>31</v>
      </c>
      <c r="E51" s="43"/>
    </row>
    <row r="52" spans="2:15" x14ac:dyDescent="0.2">
      <c r="B52" s="40" t="s">
        <v>115</v>
      </c>
      <c r="C52" s="41">
        <f>C28</f>
        <v>14000</v>
      </c>
      <c r="D52" s="42" t="s">
        <v>29</v>
      </c>
      <c r="E52" s="43" t="s">
        <v>34</v>
      </c>
    </row>
    <row r="53" spans="2:15" x14ac:dyDescent="0.2">
      <c r="B53" s="40" t="s">
        <v>116</v>
      </c>
      <c r="C53" s="41">
        <f>C50*C51/8</f>
        <v>68.75</v>
      </c>
      <c r="D53" s="42" t="s">
        <v>63</v>
      </c>
      <c r="E53" s="43"/>
    </row>
    <row r="54" spans="2:15" x14ac:dyDescent="0.2">
      <c r="B54" s="40" t="s">
        <v>64</v>
      </c>
      <c r="C54" s="41">
        <f>C48/C46</f>
        <v>2748.5796434732606</v>
      </c>
      <c r="D54" s="42" t="s">
        <v>65</v>
      </c>
      <c r="E54" s="43"/>
      <c r="G54" s="1"/>
      <c r="H54" s="1"/>
      <c r="I54" s="1"/>
      <c r="J54" s="1"/>
      <c r="K54" s="1"/>
      <c r="L54" s="1"/>
      <c r="M54" s="1"/>
      <c r="N54" s="1"/>
      <c r="O54" s="1"/>
    </row>
    <row r="55" spans="2:15" x14ac:dyDescent="0.2">
      <c r="B55" s="40" t="s">
        <v>117</v>
      </c>
      <c r="C55" s="41">
        <f>C53/C54*1000000</f>
        <v>25012.919004640378</v>
      </c>
      <c r="D55" s="42" t="s">
        <v>44</v>
      </c>
      <c r="E55" s="43"/>
      <c r="G55" s="1"/>
      <c r="H55" s="1"/>
      <c r="I55" s="1"/>
      <c r="J55" s="1"/>
      <c r="K55" s="1"/>
      <c r="L55" s="1"/>
      <c r="M55" s="1"/>
      <c r="N55" s="1"/>
      <c r="O55" s="1"/>
    </row>
    <row r="56" spans="2:15" x14ac:dyDescent="0.2">
      <c r="B56" s="40" t="s">
        <v>118</v>
      </c>
      <c r="C56" s="47">
        <f>C55/2</f>
        <v>12506.459502320189</v>
      </c>
      <c r="D56" s="42" t="s">
        <v>44</v>
      </c>
      <c r="E56" s="43"/>
      <c r="G56" s="1"/>
      <c r="H56" s="1"/>
      <c r="I56" s="1"/>
      <c r="J56" s="1"/>
      <c r="K56" s="1"/>
      <c r="L56" s="1"/>
      <c r="M56" s="1"/>
      <c r="N56" s="1"/>
      <c r="O56" s="1"/>
    </row>
    <row r="57" spans="2:15" ht="15" thickBot="1" x14ac:dyDescent="0.25">
      <c r="B57" s="48" t="s">
        <v>66</v>
      </c>
      <c r="C57" s="53">
        <f>C52/C56</f>
        <v>1.1194215275236552</v>
      </c>
      <c r="D57" s="50"/>
      <c r="E57" s="51"/>
      <c r="G57" s="1"/>
      <c r="H57" s="1"/>
      <c r="I57" s="1"/>
      <c r="J57" s="1"/>
      <c r="K57" s="1"/>
      <c r="L57" s="1"/>
      <c r="M57" s="1"/>
      <c r="N57" s="1"/>
      <c r="O57" s="1"/>
    </row>
    <row r="58" spans="2:15" x14ac:dyDescent="0.2">
      <c r="B58" s="98" t="s">
        <v>67</v>
      </c>
      <c r="C58" s="98"/>
      <c r="D58" s="98"/>
      <c r="E58" s="98"/>
      <c r="G58" s="1"/>
      <c r="H58" s="1"/>
      <c r="I58" s="1"/>
      <c r="J58" s="1"/>
      <c r="K58" s="1"/>
      <c r="L58" s="1"/>
      <c r="M58" s="1"/>
      <c r="N58" s="1"/>
      <c r="O58" s="1"/>
    </row>
    <row r="59" spans="2:15" ht="15" thickBot="1" x14ac:dyDescent="0.25">
      <c r="G59" s="1"/>
      <c r="H59" s="1"/>
      <c r="I59" s="1"/>
      <c r="J59" s="1"/>
      <c r="K59" s="1"/>
      <c r="L59" s="1"/>
      <c r="M59" s="1"/>
      <c r="N59" s="1"/>
      <c r="O59" s="1"/>
    </row>
    <row r="60" spans="2:15" ht="15.75" thickBot="1" x14ac:dyDescent="0.3">
      <c r="B60" s="95" t="s">
        <v>68</v>
      </c>
      <c r="C60" s="96"/>
      <c r="D60" s="96"/>
      <c r="E60" s="97"/>
      <c r="G60" s="1"/>
      <c r="H60" s="1"/>
      <c r="I60" s="1"/>
      <c r="J60" s="1"/>
      <c r="K60" s="1"/>
      <c r="L60" s="1"/>
      <c r="M60" s="1"/>
      <c r="N60" s="1"/>
      <c r="O60" s="1"/>
    </row>
    <row r="61" spans="2:15" x14ac:dyDescent="0.2">
      <c r="B61" s="22" t="s">
        <v>111</v>
      </c>
      <c r="C61" s="23">
        <f>C23</f>
        <v>2.3462249999999996</v>
      </c>
      <c r="D61" s="6" t="s">
        <v>29</v>
      </c>
      <c r="E61" s="24"/>
      <c r="G61" s="1"/>
      <c r="H61" s="1"/>
      <c r="I61" s="1"/>
      <c r="J61" s="1"/>
      <c r="K61" s="1"/>
      <c r="L61" s="1"/>
      <c r="M61" s="1"/>
      <c r="N61" s="1"/>
      <c r="O61" s="1"/>
    </row>
    <row r="62" spans="2:15" x14ac:dyDescent="0.2">
      <c r="B62" s="22" t="s">
        <v>30</v>
      </c>
      <c r="C62" s="28">
        <f>(C10+C7)*1000</f>
        <v>275</v>
      </c>
      <c r="D62" s="6" t="s">
        <v>31</v>
      </c>
      <c r="E62" s="24"/>
      <c r="G62" s="1"/>
      <c r="H62" s="1"/>
      <c r="I62" s="1"/>
      <c r="J62" s="1"/>
      <c r="K62" s="1"/>
      <c r="L62" s="1"/>
      <c r="M62" s="1"/>
      <c r="N62" s="1"/>
      <c r="O62" s="1"/>
    </row>
    <row r="63" spans="2:15" x14ac:dyDescent="0.2">
      <c r="B63" s="26" t="s">
        <v>33</v>
      </c>
      <c r="C63" s="28">
        <f>C28</f>
        <v>14000</v>
      </c>
      <c r="D63" s="6" t="s">
        <v>29</v>
      </c>
      <c r="E63" s="7" t="s">
        <v>34</v>
      </c>
      <c r="G63" s="1"/>
      <c r="H63" s="1"/>
      <c r="I63" s="1"/>
      <c r="J63" s="1"/>
      <c r="K63" s="1"/>
      <c r="L63" s="1"/>
      <c r="M63" s="1"/>
      <c r="N63" s="1"/>
      <c r="O63" s="1"/>
    </row>
    <row r="64" spans="2:15" x14ac:dyDescent="0.2">
      <c r="B64" s="22" t="s">
        <v>35</v>
      </c>
      <c r="C64" s="54">
        <f>(C61*C62*C62/C63/2)^0.5</f>
        <v>2.5173204690205813</v>
      </c>
      <c r="D64" s="6" t="s">
        <v>31</v>
      </c>
      <c r="E64" s="24" t="s">
        <v>36</v>
      </c>
      <c r="G64" s="1"/>
      <c r="H64" s="1"/>
      <c r="I64" s="1"/>
      <c r="J64" s="1"/>
      <c r="K64" s="1"/>
      <c r="L64" s="1"/>
      <c r="M64" s="1"/>
      <c r="N64" s="1"/>
      <c r="O64" s="1"/>
    </row>
    <row r="65" spans="2:15" ht="15" thickBot="1" x14ac:dyDescent="0.25">
      <c r="B65" s="55" t="s">
        <v>37</v>
      </c>
      <c r="C65" s="56">
        <f>C43</f>
        <v>6</v>
      </c>
      <c r="D65" s="14" t="s">
        <v>31</v>
      </c>
      <c r="E65" s="57" t="s">
        <v>69</v>
      </c>
      <c r="G65" s="1"/>
      <c r="H65" s="1"/>
      <c r="I65" s="1"/>
      <c r="J65" s="1"/>
      <c r="K65" s="1"/>
      <c r="L65" s="1"/>
      <c r="M65" s="1"/>
      <c r="N65" s="1"/>
      <c r="O65" s="1"/>
    </row>
    <row r="66" spans="2:15" ht="15" thickBot="1" x14ac:dyDescent="0.25">
      <c r="G66" s="1"/>
      <c r="H66" s="1"/>
      <c r="I66" s="1"/>
      <c r="J66" s="1"/>
      <c r="K66" s="1"/>
      <c r="L66" s="1"/>
      <c r="M66" s="1"/>
      <c r="N66" s="1"/>
      <c r="O66" s="1"/>
    </row>
    <row r="67" spans="2:15" ht="15.75" thickBot="1" x14ac:dyDescent="0.3">
      <c r="B67" s="58" t="s">
        <v>70</v>
      </c>
      <c r="C67" s="87"/>
      <c r="D67" s="88"/>
      <c r="E67" s="59" t="s">
        <v>71</v>
      </c>
    </row>
    <row r="68" spans="2:15" x14ac:dyDescent="0.2">
      <c r="B68" s="22" t="s">
        <v>72</v>
      </c>
      <c r="C68" s="23">
        <f>C23</f>
        <v>2.3462249999999996</v>
      </c>
      <c r="D68" s="60" t="s">
        <v>29</v>
      </c>
      <c r="E68" s="61"/>
    </row>
    <row r="69" spans="2:15" x14ac:dyDescent="0.2">
      <c r="B69" s="22" t="s">
        <v>73</v>
      </c>
      <c r="C69" s="28">
        <f>C6*1000</f>
        <v>550</v>
      </c>
      <c r="D69" s="62" t="s">
        <v>31</v>
      </c>
      <c r="E69" s="61" t="s">
        <v>32</v>
      </c>
    </row>
    <row r="70" spans="2:15" x14ac:dyDescent="0.2">
      <c r="B70" s="63" t="s">
        <v>74</v>
      </c>
      <c r="C70" s="28">
        <f>C5*1000</f>
        <v>3600</v>
      </c>
      <c r="D70" s="62" t="s">
        <v>31</v>
      </c>
      <c r="E70" s="7" t="s">
        <v>75</v>
      </c>
    </row>
    <row r="71" spans="2:15" x14ac:dyDescent="0.2">
      <c r="B71" s="63" t="s">
        <v>76</v>
      </c>
      <c r="C71" s="28">
        <f>C28</f>
        <v>14000</v>
      </c>
      <c r="D71" s="62" t="s">
        <v>29</v>
      </c>
      <c r="E71" s="7" t="s">
        <v>34</v>
      </c>
    </row>
    <row r="72" spans="2:15" ht="15" thickBot="1" x14ac:dyDescent="0.25">
      <c r="B72" s="64" t="s">
        <v>77</v>
      </c>
      <c r="C72" s="65">
        <f>C68*C69*C70^2/12/C71</f>
        <v>99546.974999999977</v>
      </c>
      <c r="D72" s="66" t="s">
        <v>65</v>
      </c>
      <c r="E72" s="67" t="s">
        <v>78</v>
      </c>
    </row>
    <row r="73" spans="2:15" ht="15" thickBot="1" x14ac:dyDescent="0.25"/>
    <row r="74" spans="2:15" ht="15.75" thickBot="1" x14ac:dyDescent="0.3">
      <c r="B74" s="89" t="s">
        <v>79</v>
      </c>
      <c r="C74" s="90"/>
      <c r="D74" s="90"/>
      <c r="E74" s="91"/>
    </row>
    <row r="75" spans="2:15" x14ac:dyDescent="0.2">
      <c r="B75" s="63" t="s">
        <v>80</v>
      </c>
      <c r="C75" s="28">
        <f>C27</f>
        <v>550</v>
      </c>
      <c r="D75" s="62" t="s">
        <v>31</v>
      </c>
      <c r="E75" s="7" t="s">
        <v>32</v>
      </c>
    </row>
    <row r="76" spans="2:15" x14ac:dyDescent="0.2">
      <c r="B76" s="63" t="s">
        <v>81</v>
      </c>
      <c r="C76" s="28">
        <f>(C10+C7)*1000</f>
        <v>275</v>
      </c>
      <c r="D76" s="62" t="s">
        <v>31</v>
      </c>
      <c r="E76" s="7"/>
    </row>
    <row r="77" spans="2:15" x14ac:dyDescent="0.2">
      <c r="B77" s="63" t="s">
        <v>82</v>
      </c>
      <c r="C77" s="25">
        <v>50</v>
      </c>
      <c r="D77" s="62" t="s">
        <v>31</v>
      </c>
      <c r="E77" s="7"/>
    </row>
    <row r="78" spans="2:15" x14ac:dyDescent="0.2">
      <c r="B78" s="63" t="s">
        <v>83</v>
      </c>
      <c r="C78" s="28">
        <f>C30</f>
        <v>6</v>
      </c>
      <c r="D78" s="62" t="s">
        <v>31</v>
      </c>
      <c r="E78" s="7"/>
    </row>
    <row r="79" spans="2:15" x14ac:dyDescent="0.2">
      <c r="B79" s="68" t="s">
        <v>84</v>
      </c>
      <c r="C79" s="28">
        <f>C76*(C76+2*C77)/(C75+2*C76+2*C77)</f>
        <v>85.9375</v>
      </c>
      <c r="D79" s="62" t="s">
        <v>31</v>
      </c>
      <c r="E79" s="7"/>
    </row>
    <row r="80" spans="2:15" x14ac:dyDescent="0.2">
      <c r="B80" s="68" t="s">
        <v>85</v>
      </c>
      <c r="C80" s="28">
        <f>1/12*C75*C78^3+2/3*C78*C76^3+1/6*C77*C78^3+2*C77*C78*C76^2-(C75*C78+2*C76*C78+2*C77*C78)*C76^2*(C76+2*C77)^2/(C75+2*C76+2*C77)^2</f>
        <v>75400371.875</v>
      </c>
      <c r="D80" s="62" t="s">
        <v>40</v>
      </c>
      <c r="E80" s="69"/>
    </row>
    <row r="81" spans="2:15" x14ac:dyDescent="0.2">
      <c r="B81" s="68" t="s">
        <v>86</v>
      </c>
      <c r="C81" s="28">
        <f>(C80/(C75+2*C76+2*C77)/C78)^0.5</f>
        <v>102.33412857657888</v>
      </c>
      <c r="D81" s="62" t="s">
        <v>31</v>
      </c>
      <c r="E81" s="43" t="s">
        <v>87</v>
      </c>
    </row>
    <row r="82" spans="2:15" x14ac:dyDescent="0.2">
      <c r="B82" s="68" t="s">
        <v>88</v>
      </c>
      <c r="C82" s="28">
        <f>C70/C81</f>
        <v>35.178879715637009</v>
      </c>
      <c r="D82" s="62"/>
      <c r="E82" s="43"/>
    </row>
    <row r="83" spans="2:15" x14ac:dyDescent="0.2">
      <c r="B83" s="68" t="s">
        <v>89</v>
      </c>
      <c r="C83" s="28">
        <f>MIN(C80/C79,C80/(C76-C79))</f>
        <v>398811.88429752068</v>
      </c>
      <c r="D83" s="62" t="s">
        <v>65</v>
      </c>
      <c r="E83" s="43"/>
    </row>
    <row r="84" spans="2:15" ht="15" thickBot="1" x14ac:dyDescent="0.25">
      <c r="B84" s="64" t="s">
        <v>90</v>
      </c>
      <c r="C84" s="70">
        <f>C83/C72</f>
        <v>4.0062682396679632</v>
      </c>
      <c r="D84" s="14"/>
      <c r="E84" s="71" t="s">
        <v>91</v>
      </c>
    </row>
    <row r="85" spans="2:15" ht="15" thickBot="1" x14ac:dyDescent="0.25"/>
    <row r="86" spans="2:15" ht="15.75" thickBot="1" x14ac:dyDescent="0.3">
      <c r="B86" s="92" t="s">
        <v>92</v>
      </c>
      <c r="C86" s="93"/>
      <c r="D86" s="93"/>
      <c r="E86" s="94"/>
    </row>
    <row r="87" spans="2:15" x14ac:dyDescent="0.2">
      <c r="B87" s="72" t="s">
        <v>93</v>
      </c>
      <c r="C87" s="84">
        <f>C28</f>
        <v>14000</v>
      </c>
      <c r="D87" s="73" t="s">
        <v>94</v>
      </c>
      <c r="E87" s="74"/>
      <c r="H87" s="1"/>
      <c r="I87" s="1"/>
      <c r="J87" s="1"/>
      <c r="K87" s="1"/>
      <c r="L87" s="1"/>
      <c r="M87" s="1"/>
      <c r="N87" s="1"/>
      <c r="O87" s="1"/>
    </row>
    <row r="88" spans="2:15" x14ac:dyDescent="0.2">
      <c r="B88" s="75" t="s">
        <v>95</v>
      </c>
      <c r="C88" s="76">
        <v>1</v>
      </c>
      <c r="D88" s="77" t="s">
        <v>2</v>
      </c>
      <c r="E88" s="78"/>
      <c r="H88" s="1"/>
      <c r="I88" s="1"/>
      <c r="J88" s="1"/>
      <c r="K88" s="1"/>
      <c r="L88" s="1"/>
      <c r="M88" s="1"/>
      <c r="N88" s="1"/>
      <c r="O88" s="1"/>
    </row>
    <row r="89" spans="2:15" x14ac:dyDescent="0.2">
      <c r="B89" s="75" t="s">
        <v>96</v>
      </c>
      <c r="C89" s="85">
        <f>C30</f>
        <v>6</v>
      </c>
      <c r="D89" s="77" t="s">
        <v>31</v>
      </c>
      <c r="E89" s="78"/>
      <c r="H89" s="1"/>
      <c r="I89" s="1"/>
      <c r="J89" s="1"/>
      <c r="K89" s="1"/>
      <c r="L89" s="1"/>
      <c r="M89" s="1"/>
      <c r="N89" s="1"/>
      <c r="O89" s="1"/>
    </row>
    <row r="90" spans="2:15" x14ac:dyDescent="0.2">
      <c r="B90" s="75" t="s">
        <v>97</v>
      </c>
      <c r="C90" s="79">
        <f>C87*C88*C89^2/6</f>
        <v>84000</v>
      </c>
      <c r="D90" s="77" t="s">
        <v>63</v>
      </c>
      <c r="E90" s="80" t="s">
        <v>98</v>
      </c>
      <c r="H90" s="1"/>
      <c r="I90" s="1"/>
      <c r="J90" s="1"/>
      <c r="K90" s="1"/>
      <c r="L90" s="1"/>
      <c r="M90" s="1"/>
      <c r="N90" s="1"/>
      <c r="O90" s="1"/>
    </row>
    <row r="91" spans="2:15" x14ac:dyDescent="0.2">
      <c r="B91" s="75" t="s">
        <v>99</v>
      </c>
      <c r="C91" s="76">
        <v>120000000</v>
      </c>
      <c r="D91" s="77" t="s">
        <v>94</v>
      </c>
      <c r="E91" s="78"/>
      <c r="H91" s="1"/>
      <c r="I91" s="1"/>
      <c r="J91" s="1"/>
      <c r="K91" s="1"/>
      <c r="L91" s="1"/>
      <c r="M91" s="1"/>
      <c r="N91" s="1"/>
      <c r="O91" s="1"/>
    </row>
    <row r="92" spans="2:15" x14ac:dyDescent="0.2">
      <c r="B92" s="75" t="s">
        <v>100</v>
      </c>
      <c r="C92" s="6">
        <f>1000*((C90*6*C89/C91/C88+C89*C89*C89)^(1/3)-C89)/2</f>
        <v>0.11666212992356151</v>
      </c>
      <c r="D92" s="77" t="s">
        <v>31</v>
      </c>
      <c r="E92" s="81" t="s">
        <v>101</v>
      </c>
      <c r="H92" s="1"/>
      <c r="I92" s="1"/>
      <c r="J92" s="1"/>
      <c r="K92" s="1"/>
      <c r="L92" s="1"/>
      <c r="M92" s="1"/>
      <c r="N92" s="1"/>
      <c r="O92" s="1"/>
    </row>
    <row r="93" spans="2:15" x14ac:dyDescent="0.2">
      <c r="B93" s="68" t="s">
        <v>102</v>
      </c>
      <c r="C93" s="23">
        <f>C92*16</f>
        <v>1.8665940787769841</v>
      </c>
      <c r="D93" s="62" t="s">
        <v>103</v>
      </c>
      <c r="E93" s="43" t="s">
        <v>104</v>
      </c>
      <c r="H93" s="1"/>
      <c r="I93" s="1"/>
      <c r="J93" s="1"/>
      <c r="K93" s="1"/>
      <c r="L93" s="1"/>
      <c r="M93" s="1"/>
      <c r="N93" s="1"/>
      <c r="O93" s="1"/>
    </row>
    <row r="94" spans="2:15" ht="15" thickBot="1" x14ac:dyDescent="0.25">
      <c r="B94" s="64" t="s">
        <v>105</v>
      </c>
      <c r="C94" s="86">
        <f>C89*3</f>
        <v>18</v>
      </c>
      <c r="D94" s="14" t="s">
        <v>31</v>
      </c>
      <c r="E94" s="82" t="s">
        <v>106</v>
      </c>
      <c r="H94" s="1"/>
      <c r="I94" s="1"/>
      <c r="J94" s="1"/>
      <c r="K94" s="1"/>
      <c r="L94" s="1"/>
      <c r="M94" s="1"/>
      <c r="N94" s="1"/>
      <c r="O94" s="1"/>
    </row>
    <row r="95" spans="2:15" x14ac:dyDescent="0.2">
      <c r="H95" s="1"/>
      <c r="I95" s="1"/>
      <c r="J95" s="1"/>
      <c r="K95" s="1"/>
      <c r="L95" s="1"/>
      <c r="M95" s="1"/>
      <c r="N95" s="1"/>
      <c r="O95" s="1"/>
    </row>
  </sheetData>
  <mergeCells count="9">
    <mergeCell ref="C67:D67"/>
    <mergeCell ref="B74:E74"/>
    <mergeCell ref="B86:E86"/>
    <mergeCell ref="B2:E2"/>
    <mergeCell ref="B14:E14"/>
    <mergeCell ref="B25:E25"/>
    <mergeCell ref="B38:E38"/>
    <mergeCell ref="B58:E58"/>
    <mergeCell ref="B60:E60"/>
  </mergeCells>
  <pageMargins left="0.35433070866141736" right="0.35433070866141736" top="0.35433070866141736" bottom="0.35433070866141736" header="0.35433070866141736" footer="0.35433070866141736"/>
  <pageSetup paperSize="9" scale="89" fitToHeight="2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AlanX</dc:creator>
  <cp:lastModifiedBy>AlanX</cp:lastModifiedBy>
  <dcterms:created xsi:type="dcterms:W3CDTF">2017-02-21T21:54:39Z</dcterms:created>
  <dcterms:modified xsi:type="dcterms:W3CDTF">2017-02-23T07:52:18Z</dcterms:modified>
</cp:coreProperties>
</file>